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7400" windowHeight="12120" tabRatio="725" activeTab="9"/>
  </bookViews>
  <sheets>
    <sheet name="WPF styczeń 2013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oreczenia nieaktualne" sheetId="6" state="hidden" r:id="rId5"/>
    <sheet name="Harmonogram" sheetId="20" state="hidden" r:id="rId6"/>
    <sheet name="HSZ do groszy" sheetId="7" state="hidden" r:id="rId7"/>
    <sheet name="HSZ do złotówek" sheetId="8" state="hidden" r:id="rId8"/>
    <sheet name="Przeds maj styczeń 2013" sheetId="5" r:id="rId9"/>
    <sheet name="Przeds bieżace  styczeń 2013 " sheetId="25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state="hidden" r:id="rId25"/>
    <sheet name="pożyczka jessica" sheetId="27" state="hidden" r:id="rId26"/>
    <sheet name="kredyt jessica" sheetId="28" state="hidden" r:id="rId27"/>
  </sheets>
  <externalReferences>
    <externalReference r:id="rId28"/>
  </externalReferences>
  <definedNames>
    <definedName name="_xlnm.Print_Area" localSheetId="5">Harmonogram!$B$1:$AB$33</definedName>
    <definedName name="_xlnm.Print_Area" localSheetId="6">'HSZ do groszy'!$A$2:$CY$61</definedName>
    <definedName name="_xlnm.Print_Area" localSheetId="7">'HSZ do złotówek'!$A$3:$CX$64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">'Planowane spłaty zobowiązań'!$A$1:$U$58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długu'!$A$1:$U$44</definedName>
    <definedName name="_xlnm.Print_Area" localSheetId="9">'Przeds bieżace  styczeń 2013 '!$A$1:$AA$308</definedName>
    <definedName name="_xlnm.Print_Area" localSheetId="8">'Przeds maj styczeń 2013'!$A$1:$U$262</definedName>
    <definedName name="_xlnm.Print_Area" localSheetId="24">'Przeds Poręczenia'!$A$1:$AB$98</definedName>
    <definedName name="_xlnm.Print_Area" localSheetId="0">'WPF styczeń 2013'!$A$1:$AG$111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6" hidden="1">'HSZ do groszy'!$CZ:$XFD</definedName>
    <definedName name="Z_7BD7CFEC_630A_43DC_A164_EFC05DD38EF7_.wvu.Cols" localSheetId="7" hidden="1">'HSZ do złotówek'!$CY:$XFD</definedName>
    <definedName name="Z_7BD7CFEC_630A_43DC_A164_EFC05DD38EF7_.wvu.Cols" localSheetId="4" hidden="1">'poreczenia nieaktualne'!$AC:$XFD</definedName>
    <definedName name="Z_7BD7CFEC_630A_43DC_A164_EFC05DD38EF7_.wvu.Cols" localSheetId="1" hidden="1">'Prognozowana kwota długu'!$R:$XFD</definedName>
    <definedName name="Z_7BD7CFEC_630A_43DC_A164_EFC05DD38EF7_.wvu.Cols" localSheetId="9" hidden="1">'Przeds bieżace  styczeń 2013 '!$AC:$XFD</definedName>
    <definedName name="Z_7BD7CFEC_630A_43DC_A164_EFC05DD38EF7_.wvu.Cols" localSheetId="8" hidden="1">'Przeds maj styczeń 2013'!$W:$XFD</definedName>
    <definedName name="Z_7BD7CFEC_630A_43DC_A164_EFC05DD38EF7_.wvu.Cols" localSheetId="3" hidden="1">'Przedsięwzięcia - bierzące'!$X:$XFD</definedName>
    <definedName name="Z_7BD7CFEC_630A_43DC_A164_EFC05DD38EF7_.wvu.Cols" localSheetId="0" hidden="1">'WPF styczeń 2013'!$T:$AG,'WPF styczeń 2013'!$AI:$XFD</definedName>
    <definedName name="Z_7BD7CFEC_630A_43DC_A164_EFC05DD38EF7_.wvu.PrintArea" localSheetId="6" hidden="1">'HSZ do groszy'!$A$2:$AH$61,'HSZ do groszy'!$AU$2:$CX$61</definedName>
    <definedName name="Z_7BD7CFEC_630A_43DC_A164_EFC05DD38EF7_.wvu.PrintArea" localSheetId="7" hidden="1">'HSZ do złotówek'!$A$3:$CI$64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styczeń 2013'!$A$2:$AN$109</definedName>
    <definedName name="Z_7BD7CFEC_630A_43DC_A164_EFC05DD38EF7_.wvu.Rows" localSheetId="6" hidden="1">'HSZ do groszy'!$120:$1048576,'HSZ do groszy'!$63:$74,'HSZ do groszy'!$88:$89</definedName>
    <definedName name="Z_7BD7CFEC_630A_43DC_A164_EFC05DD38EF7_.wvu.Rows" localSheetId="7" hidden="1">'HSZ do złotówek'!$99:$1048576,'HSZ do złotówek'!$67:$68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długu'!$68:$1048576,'Prognozowana kwota długu'!$46:$67</definedName>
    <definedName name="Z_7BD7CFEC_630A_43DC_A164_EFC05DD38EF7_.wvu.Rows" localSheetId="0" hidden="1">'WPF styczeń 2013'!$149:$1048576,'WPF styczeń 2013'!$113:$113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J24" i="1"/>
  <c r="Q258" i="5"/>
  <c r="P258"/>
  <c r="P254"/>
  <c r="L250"/>
  <c r="R258"/>
  <c r="S258"/>
  <c r="N258"/>
  <c r="U242"/>
  <c r="P238"/>
  <c r="Q238"/>
  <c r="U244" s="1"/>
  <c r="R238"/>
  <c r="S238"/>
  <c r="T244"/>
  <c r="T242"/>
  <c r="N242"/>
  <c r="L304" i="25"/>
  <c r="Q304"/>
  <c r="R304"/>
  <c r="S304"/>
  <c r="T304"/>
  <c r="U304"/>
  <c r="V304"/>
  <c r="W304"/>
  <c r="X304"/>
  <c r="Y304"/>
  <c r="P304"/>
  <c r="Q300"/>
  <c r="R300"/>
  <c r="S300"/>
  <c r="T300"/>
  <c r="U300"/>
  <c r="V300"/>
  <c r="W300"/>
  <c r="X300"/>
  <c r="Y300"/>
  <c r="P300"/>
  <c r="N291"/>
  <c r="Y287"/>
  <c r="X287"/>
  <c r="W287"/>
  <c r="V287"/>
  <c r="U287"/>
  <c r="T287"/>
  <c r="S287"/>
  <c r="R287"/>
  <c r="Q287"/>
  <c r="AA293" s="1"/>
  <c r="P287"/>
  <c r="AA291" s="1"/>
  <c r="N287"/>
  <c r="L287"/>
  <c r="N269"/>
  <c r="N282"/>
  <c r="N278"/>
  <c r="Y274"/>
  <c r="X274"/>
  <c r="W274"/>
  <c r="V274"/>
  <c r="U274"/>
  <c r="T274"/>
  <c r="S274"/>
  <c r="R274"/>
  <c r="Q274"/>
  <c r="AA282" s="1"/>
  <c r="P274"/>
  <c r="AA280" s="1"/>
  <c r="Z274" s="1"/>
  <c r="N274"/>
  <c r="L274" s="1"/>
  <c r="N265"/>
  <c r="N261" s="1"/>
  <c r="L261" s="1"/>
  <c r="Y261"/>
  <c r="X261"/>
  <c r="W261"/>
  <c r="V261"/>
  <c r="U261"/>
  <c r="T261"/>
  <c r="S261"/>
  <c r="R261"/>
  <c r="Q261"/>
  <c r="AA269" s="1"/>
  <c r="P261"/>
  <c r="AA267" s="1"/>
  <c r="Z261" s="1"/>
  <c r="I26" i="1"/>
  <c r="I24"/>
  <c r="W26"/>
  <c r="I21"/>
  <c r="T26"/>
  <c r="I50"/>
  <c r="N21"/>
  <c r="M21"/>
  <c r="L21"/>
  <c r="K21"/>
  <c r="J21"/>
  <c r="Z287" i="25" l="1"/>
  <c r="T238" i="5"/>
  <c r="N238" s="1"/>
  <c r="T51" i="3"/>
  <c r="U51"/>
  <c r="U50"/>
  <c r="T50"/>
  <c r="T49"/>
  <c r="U49"/>
  <c r="U28" i="2"/>
  <c r="T36"/>
  <c r="S36"/>
  <c r="S24"/>
  <c r="S23"/>
  <c r="S22"/>
  <c r="CQ10" i="7"/>
  <c r="CN10"/>
  <c r="CK10"/>
  <c r="CH10"/>
  <c r="CE10"/>
  <c r="CB10"/>
  <c r="BY10"/>
  <c r="BV10"/>
  <c r="BS10"/>
  <c r="BP10"/>
  <c r="BM10"/>
  <c r="BJ10"/>
  <c r="BG10"/>
  <c r="BD10"/>
  <c r="BA10"/>
  <c r="AK10" i="8"/>
  <c r="CM10" s="1"/>
  <c r="T28" i="2" s="1"/>
  <c r="T26" s="1"/>
  <c r="H28"/>
  <c r="G28"/>
  <c r="G25"/>
  <c r="AL11" i="7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CM10"/>
  <c r="CJ10"/>
  <c r="CG10"/>
  <c r="CD10"/>
  <c r="CA10"/>
  <c r="BX10"/>
  <c r="BU10"/>
  <c r="BR10"/>
  <c r="BO10"/>
  <c r="BL10"/>
  <c r="BI10"/>
  <c r="BF10"/>
  <c r="V26" i="1"/>
  <c r="U26"/>
  <c r="P134" i="19"/>
  <c r="S26" i="1"/>
  <c r="P134" i="18"/>
  <c r="P134" i="17"/>
  <c r="P134" i="16"/>
  <c r="P122" i="15"/>
  <c r="O26" i="1"/>
  <c r="W44" i="7"/>
  <c r="U44"/>
  <c r="P110" i="14"/>
  <c r="N26" i="1"/>
  <c r="P98" i="13" l="1"/>
  <c r="M24" i="1"/>
  <c r="N24"/>
  <c r="L11" i="7"/>
  <c r="P86" i="9" l="1"/>
  <c r="P98"/>
  <c r="P110"/>
  <c r="M38" i="7"/>
  <c r="N27" i="1" l="1"/>
  <c r="M27"/>
  <c r="O27"/>
  <c r="H50"/>
  <c r="J38" i="7"/>
  <c r="J37"/>
  <c r="J11"/>
  <c r="U38" i="5" l="1"/>
  <c r="L36"/>
  <c r="L254" s="1"/>
  <c r="Z91" i="26" l="1"/>
  <c r="Y91"/>
  <c r="X91"/>
  <c r="W91"/>
  <c r="V91"/>
  <c r="U91"/>
  <c r="T91"/>
  <c r="S91"/>
  <c r="R91"/>
  <c r="Q91"/>
  <c r="N91" s="1"/>
  <c r="L93"/>
  <c r="S254" i="5"/>
  <c r="Q254"/>
  <c r="N220"/>
  <c r="T218"/>
  <c r="T216"/>
  <c r="N216"/>
  <c r="S212"/>
  <c r="R212"/>
  <c r="Q212"/>
  <c r="U218" s="1"/>
  <c r="P212"/>
  <c r="U216" s="1"/>
  <c r="N256" i="25"/>
  <c r="N252"/>
  <c r="Y248"/>
  <c r="X248"/>
  <c r="W248"/>
  <c r="V248"/>
  <c r="U248"/>
  <c r="T248"/>
  <c r="S248"/>
  <c r="R248"/>
  <c r="Q248"/>
  <c r="AA256" s="1"/>
  <c r="P248"/>
  <c r="AA254" s="1"/>
  <c r="N243"/>
  <c r="N239"/>
  <c r="N235" s="1"/>
  <c r="L235" s="1"/>
  <c r="Y235"/>
  <c r="X235"/>
  <c r="W235"/>
  <c r="V235"/>
  <c r="U235"/>
  <c r="T235"/>
  <c r="S235"/>
  <c r="R235"/>
  <c r="Q235"/>
  <c r="AA243" s="1"/>
  <c r="P235"/>
  <c r="AA241" s="1"/>
  <c r="N217"/>
  <c r="N213" s="1"/>
  <c r="L213" s="1"/>
  <c r="Y213"/>
  <c r="X213"/>
  <c r="W213"/>
  <c r="V213"/>
  <c r="U213"/>
  <c r="T213"/>
  <c r="S213"/>
  <c r="R213"/>
  <c r="Q213"/>
  <c r="P213"/>
  <c r="N208"/>
  <c r="N204" s="1"/>
  <c r="L204" s="1"/>
  <c r="Y204"/>
  <c r="X204"/>
  <c r="W204"/>
  <c r="V204"/>
  <c r="U204"/>
  <c r="T204"/>
  <c r="S204"/>
  <c r="R204"/>
  <c r="Q204"/>
  <c r="P204"/>
  <c r="N199"/>
  <c r="N195"/>
  <c r="Y191"/>
  <c r="X191"/>
  <c r="W191"/>
  <c r="V191"/>
  <c r="U191"/>
  <c r="T191"/>
  <c r="S191"/>
  <c r="R191"/>
  <c r="Q191"/>
  <c r="AA199" s="1"/>
  <c r="P191"/>
  <c r="AA197" s="1"/>
  <c r="N191"/>
  <c r="L191" s="1"/>
  <c r="O8" i="1"/>
  <c r="X44" i="7"/>
  <c r="V44"/>
  <c r="T44"/>
  <c r="R44"/>
  <c r="P44"/>
  <c r="N44"/>
  <c r="L44"/>
  <c r="J44"/>
  <c r="N248" i="25" l="1"/>
  <c r="L248" s="1"/>
  <c r="T212" i="5"/>
  <c r="N212" s="1"/>
  <c r="Z248" i="25"/>
  <c r="Z235"/>
  <c r="Z191"/>
  <c r="U17" i="1"/>
  <c r="T17"/>
  <c r="S17"/>
  <c r="Y222" i="25"/>
  <c r="X222"/>
  <c r="W222"/>
  <c r="V222"/>
  <c r="U222"/>
  <c r="T222"/>
  <c r="S222"/>
  <c r="Y178"/>
  <c r="X178"/>
  <c r="W178"/>
  <c r="V178"/>
  <c r="U178"/>
  <c r="T178"/>
  <c r="S178"/>
  <c r="Y165"/>
  <c r="X165"/>
  <c r="W165"/>
  <c r="V165"/>
  <c r="U165"/>
  <c r="T165"/>
  <c r="S165"/>
  <c r="Y152"/>
  <c r="X152"/>
  <c r="W152"/>
  <c r="V152"/>
  <c r="U152"/>
  <c r="T152"/>
  <c r="S152"/>
  <c r="Y139"/>
  <c r="X139"/>
  <c r="W139"/>
  <c r="V139"/>
  <c r="U139"/>
  <c r="T139"/>
  <c r="S139"/>
  <c r="Y126"/>
  <c r="X126"/>
  <c r="W126"/>
  <c r="V126"/>
  <c r="U126"/>
  <c r="T126"/>
  <c r="S126"/>
  <c r="Y113"/>
  <c r="X113"/>
  <c r="W113"/>
  <c r="V113"/>
  <c r="U113"/>
  <c r="T113"/>
  <c r="S113"/>
  <c r="Y100"/>
  <c r="X100"/>
  <c r="W100"/>
  <c r="V100"/>
  <c r="U100"/>
  <c r="T100"/>
  <c r="S100"/>
  <c r="Y87"/>
  <c r="X87"/>
  <c r="W87"/>
  <c r="V87"/>
  <c r="U87"/>
  <c r="T87"/>
  <c r="S87"/>
  <c r="Y74"/>
  <c r="X74"/>
  <c r="W74"/>
  <c r="V74"/>
  <c r="U74"/>
  <c r="T74"/>
  <c r="S74"/>
  <c r="Y61"/>
  <c r="X61"/>
  <c r="W61"/>
  <c r="V61"/>
  <c r="U61"/>
  <c r="T61"/>
  <c r="S61"/>
  <c r="Y44"/>
  <c r="X44"/>
  <c r="W44"/>
  <c r="V44"/>
  <c r="U44"/>
  <c r="T44"/>
  <c r="S44"/>
  <c r="Y31"/>
  <c r="X31"/>
  <c r="W31"/>
  <c r="V31"/>
  <c r="U31"/>
  <c r="T31"/>
  <c r="S31"/>
  <c r="Y18"/>
  <c r="X18"/>
  <c r="W18"/>
  <c r="V18"/>
  <c r="U18"/>
  <c r="T18"/>
  <c r="S18"/>
  <c r="N79" i="26"/>
  <c r="N74" s="1"/>
  <c r="N84"/>
  <c r="AA74"/>
  <c r="Z74"/>
  <c r="Y74"/>
  <c r="X74"/>
  <c r="W74"/>
  <c r="V74"/>
  <c r="U74"/>
  <c r="T74"/>
  <c r="S74"/>
  <c r="R74"/>
  <c r="Q74"/>
  <c r="P74"/>
  <c r="N65"/>
  <c r="Z61"/>
  <c r="Y61"/>
  <c r="X61"/>
  <c r="W61"/>
  <c r="V61"/>
  <c r="U61"/>
  <c r="T61"/>
  <c r="S61"/>
  <c r="R61"/>
  <c r="Q61"/>
  <c r="P61"/>
  <c r="N61"/>
  <c r="N186" i="25"/>
  <c r="N182"/>
  <c r="R178"/>
  <c r="Q178"/>
  <c r="AA186" s="1"/>
  <c r="P178"/>
  <c r="AA184" s="1"/>
  <c r="N173"/>
  <c r="N169"/>
  <c r="R165"/>
  <c r="Q165"/>
  <c r="P165"/>
  <c r="AA171" s="1"/>
  <c r="N230"/>
  <c r="N226"/>
  <c r="R222"/>
  <c r="Q222"/>
  <c r="P222"/>
  <c r="N160"/>
  <c r="N156"/>
  <c r="R152"/>
  <c r="AA162" s="1"/>
  <c r="Q152"/>
  <c r="AA160" s="1"/>
  <c r="P152"/>
  <c r="AA158" s="1"/>
  <c r="N207" i="5"/>
  <c r="T205"/>
  <c r="T203"/>
  <c r="N203"/>
  <c r="S199"/>
  <c r="R199"/>
  <c r="Q199"/>
  <c r="U205" s="1"/>
  <c r="P199"/>
  <c r="U203" s="1"/>
  <c r="T170"/>
  <c r="T168"/>
  <c r="N168"/>
  <c r="T166"/>
  <c r="T164"/>
  <c r="N164"/>
  <c r="S160"/>
  <c r="U170" s="1"/>
  <c r="R160"/>
  <c r="U168" s="1"/>
  <c r="Q160"/>
  <c r="U166" s="1"/>
  <c r="P160"/>
  <c r="U164" s="1"/>
  <c r="T144"/>
  <c r="T142"/>
  <c r="N142"/>
  <c r="T140"/>
  <c r="T138"/>
  <c r="S134"/>
  <c r="U144" s="1"/>
  <c r="R134"/>
  <c r="U142" s="1"/>
  <c r="Q134"/>
  <c r="U140" s="1"/>
  <c r="P134"/>
  <c r="U138" s="1"/>
  <c r="N147" i="25"/>
  <c r="N143"/>
  <c r="R139"/>
  <c r="Q139"/>
  <c r="AA147" s="1"/>
  <c r="P139"/>
  <c r="AA145" s="1"/>
  <c r="N134"/>
  <c r="N130"/>
  <c r="R126"/>
  <c r="Q126"/>
  <c r="AA134" s="1"/>
  <c r="P126"/>
  <c r="AA132" s="1"/>
  <c r="X13" i="1"/>
  <c r="Y13" s="1"/>
  <c r="Z13" s="1"/>
  <c r="J48"/>
  <c r="I48"/>
  <c r="J49"/>
  <c r="I49"/>
  <c r="AK30" i="7"/>
  <c r="N52" i="26"/>
  <c r="Z48"/>
  <c r="Y48"/>
  <c r="X48"/>
  <c r="W48"/>
  <c r="V48"/>
  <c r="U48"/>
  <c r="T48"/>
  <c r="S48"/>
  <c r="R48"/>
  <c r="Q48"/>
  <c r="P48"/>
  <c r="N48"/>
  <c r="Z12" i="1"/>
  <c r="Y12"/>
  <c r="X12"/>
  <c r="N194" i="5"/>
  <c r="T192"/>
  <c r="T190"/>
  <c r="N190"/>
  <c r="S186"/>
  <c r="R186"/>
  <c r="Q186"/>
  <c r="U192" s="1"/>
  <c r="P186"/>
  <c r="U190" s="1"/>
  <c r="Z77" i="1"/>
  <c r="Z61"/>
  <c r="Z47"/>
  <c r="Z45" s="1"/>
  <c r="Z31"/>
  <c r="Z29"/>
  <c r="Z19"/>
  <c r="Z18" s="1"/>
  <c r="Y77"/>
  <c r="Y61"/>
  <c r="Y47"/>
  <c r="Y45" s="1"/>
  <c r="Y31"/>
  <c r="Y29"/>
  <c r="Y19"/>
  <c r="Y18" s="1"/>
  <c r="X77"/>
  <c r="X61"/>
  <c r="X47"/>
  <c r="X45"/>
  <c r="X31"/>
  <c r="X29"/>
  <c r="X19"/>
  <c r="X18" s="1"/>
  <c r="W77"/>
  <c r="W61"/>
  <c r="W47"/>
  <c r="W45" s="1"/>
  <c r="W31"/>
  <c r="W29"/>
  <c r="W19"/>
  <c r="W18" s="1"/>
  <c r="V77"/>
  <c r="V61"/>
  <c r="V47"/>
  <c r="V45"/>
  <c r="V31"/>
  <c r="V29"/>
  <c r="V19"/>
  <c r="V18" s="1"/>
  <c r="X50" i="3"/>
  <c r="X42"/>
  <c r="W50"/>
  <c r="W42"/>
  <c r="V50"/>
  <c r="V42"/>
  <c r="T42"/>
  <c r="U42"/>
  <c r="BL30" i="7" l="1"/>
  <c r="BO30"/>
  <c r="BI30"/>
  <c r="BR30"/>
  <c r="BF30"/>
  <c r="T296" i="25"/>
  <c r="V296"/>
  <c r="X296"/>
  <c r="S296"/>
  <c r="U296"/>
  <c r="W296"/>
  <c r="Y296"/>
  <c r="Q17" i="1"/>
  <c r="L17"/>
  <c r="N17"/>
  <c r="P17"/>
  <c r="R17"/>
  <c r="M17"/>
  <c r="O17"/>
  <c r="AA149" i="25"/>
  <c r="AA228"/>
  <c r="Z222" s="1"/>
  <c r="T186" i="5"/>
  <c r="N186" s="1"/>
  <c r="L186" s="1"/>
  <c r="N138"/>
  <c r="R254"/>
  <c r="N254" s="1"/>
  <c r="N250" s="1"/>
  <c r="T134"/>
  <c r="N134" s="1"/>
  <c r="N87" i="26"/>
  <c r="N222" i="25"/>
  <c r="L222" s="1"/>
  <c r="N152"/>
  <c r="N139"/>
  <c r="N126"/>
  <c r="N300"/>
  <c r="N304"/>
  <c r="N178"/>
  <c r="L178" s="1"/>
  <c r="N165"/>
  <c r="L165" s="1"/>
  <c r="Z165"/>
  <c r="Z178"/>
  <c r="Z152"/>
  <c r="T199" i="5"/>
  <c r="N199" s="1"/>
  <c r="T160"/>
  <c r="N160" s="1"/>
  <c r="Z139" i="25"/>
  <c r="Z126"/>
  <c r="P220" i="28"/>
  <c r="T219" s="1"/>
  <c r="D219"/>
  <c r="D218"/>
  <c r="D217"/>
  <c r="D216"/>
  <c r="D215"/>
  <c r="D214"/>
  <c r="D213"/>
  <c r="D212"/>
  <c r="D211"/>
  <c r="D210"/>
  <c r="D209"/>
  <c r="T206"/>
  <c r="T198"/>
  <c r="T189"/>
  <c r="T180"/>
  <c r="T173"/>
  <c r="T170"/>
  <c r="T168"/>
  <c r="T166"/>
  <c r="T164"/>
  <c r="T162"/>
  <c r="T159"/>
  <c r="T157"/>
  <c r="T155"/>
  <c r="T153"/>
  <c r="T151"/>
  <c r="T149"/>
  <c r="D148"/>
  <c r="T146"/>
  <c r="T144"/>
  <c r="T142"/>
  <c r="T140"/>
  <c r="T138"/>
  <c r="T135"/>
  <c r="T133"/>
  <c r="T131"/>
  <c r="T129"/>
  <c r="T127"/>
  <c r="T125"/>
  <c r="T122"/>
  <c r="T120"/>
  <c r="T118"/>
  <c r="T116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F10" i="7"/>
  <c r="E10"/>
  <c r="AR11"/>
  <c r="AQ11"/>
  <c r="AP11"/>
  <c r="AO11"/>
  <c r="AN11"/>
  <c r="AM11"/>
  <c r="K11"/>
  <c r="I11"/>
  <c r="H11"/>
  <c r="G11"/>
  <c r="F25" i="2"/>
  <c r="CX29" i="8"/>
  <c r="CX28"/>
  <c r="CX27"/>
  <c r="CW26"/>
  <c r="CV26"/>
  <c r="CW25"/>
  <c r="CV25"/>
  <c r="CU29"/>
  <c r="T24" i="2" s="1"/>
  <c r="CU28" i="8"/>
  <c r="T23" i="2" s="1"/>
  <c r="CU27" i="8"/>
  <c r="T22" i="2" s="1"/>
  <c r="CT26" i="8"/>
  <c r="CS26"/>
  <c r="CT25"/>
  <c r="CS25"/>
  <c r="CR29"/>
  <c r="CR28"/>
  <c r="CR27"/>
  <c r="CQ26"/>
  <c r="CP26"/>
  <c r="CQ25"/>
  <c r="CP25"/>
  <c r="CO29"/>
  <c r="CO28"/>
  <c r="CO27"/>
  <c r="CN26"/>
  <c r="CM26"/>
  <c r="CN25"/>
  <c r="CM25"/>
  <c r="CK26"/>
  <c r="CJ26"/>
  <c r="CL26" s="1"/>
  <c r="CK25"/>
  <c r="CJ25"/>
  <c r="CL25" s="1"/>
  <c r="CG29" i="7"/>
  <c r="CG28"/>
  <c r="CG27"/>
  <c r="AR57" i="8"/>
  <c r="AQ57"/>
  <c r="AQ56"/>
  <c r="AQ55"/>
  <c r="AQ54"/>
  <c r="AQ53"/>
  <c r="AQ52"/>
  <c r="AQ51"/>
  <c r="AQ50"/>
  <c r="AQ49"/>
  <c r="AQ48"/>
  <c r="AQ47"/>
  <c r="AQ46"/>
  <c r="AR45"/>
  <c r="AQ45"/>
  <c r="AR44"/>
  <c r="AQ44"/>
  <c r="AR43"/>
  <c r="AQ43"/>
  <c r="AR40"/>
  <c r="AQ40"/>
  <c r="AR39"/>
  <c r="AQ39"/>
  <c r="AR38"/>
  <c r="AQ38"/>
  <c r="AR37"/>
  <c r="AQ37"/>
  <c r="AR36"/>
  <c r="AR42" s="1"/>
  <c r="AQ36"/>
  <c r="AQ42" s="1"/>
  <c r="AQ30"/>
  <c r="AR29"/>
  <c r="AQ29"/>
  <c r="AR28"/>
  <c r="AQ28"/>
  <c r="AR27"/>
  <c r="AQ27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Q31" s="1"/>
  <c r="AR10"/>
  <c r="AQ10"/>
  <c r="AR9"/>
  <c r="AQ9"/>
  <c r="AR8"/>
  <c r="AQ8"/>
  <c r="AR7"/>
  <c r="AQ7"/>
  <c r="AR6"/>
  <c r="AR11" s="1"/>
  <c r="AQ6"/>
  <c r="AQ11" s="1"/>
  <c r="X26" i="3" s="1"/>
  <c r="AP57" i="8"/>
  <c r="AO57"/>
  <c r="AO56"/>
  <c r="AO55"/>
  <c r="AO54"/>
  <c r="AO53"/>
  <c r="AO52"/>
  <c r="AO51"/>
  <c r="AO50"/>
  <c r="AO49"/>
  <c r="AO48"/>
  <c r="AO47"/>
  <c r="AO46"/>
  <c r="AP45"/>
  <c r="AO45"/>
  <c r="AP44"/>
  <c r="AO44"/>
  <c r="AP43"/>
  <c r="AO43"/>
  <c r="AP40"/>
  <c r="AO40"/>
  <c r="AP39"/>
  <c r="AO39"/>
  <c r="AP38"/>
  <c r="AO38"/>
  <c r="AP37"/>
  <c r="AO37"/>
  <c r="AP36"/>
  <c r="AP42" s="1"/>
  <c r="AO36"/>
  <c r="AO42" s="1"/>
  <c r="AO30"/>
  <c r="AP29"/>
  <c r="AO29"/>
  <c r="AP28"/>
  <c r="AO28"/>
  <c r="AP27"/>
  <c r="AO27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O31" s="1"/>
  <c r="AP10"/>
  <c r="AO10"/>
  <c r="AP9"/>
  <c r="AO9"/>
  <c r="AP8"/>
  <c r="AO8"/>
  <c r="AP7"/>
  <c r="AO7"/>
  <c r="AP6"/>
  <c r="AP11" s="1"/>
  <c r="AO6"/>
  <c r="AO11" s="1"/>
  <c r="W26" i="3" s="1"/>
  <c r="AN57" i="8"/>
  <c r="AM57"/>
  <c r="AM56"/>
  <c r="AM55"/>
  <c r="AM54"/>
  <c r="AM53"/>
  <c r="AM52"/>
  <c r="AM51"/>
  <c r="AM50"/>
  <c r="AM49"/>
  <c r="AM48"/>
  <c r="AM47"/>
  <c r="AM46"/>
  <c r="AN45"/>
  <c r="AM45"/>
  <c r="AN44"/>
  <c r="AM44"/>
  <c r="AN43"/>
  <c r="AM43"/>
  <c r="AN40"/>
  <c r="AM40"/>
  <c r="AN39"/>
  <c r="AM39"/>
  <c r="AN38"/>
  <c r="AM38"/>
  <c r="AN37"/>
  <c r="AM37"/>
  <c r="AN36"/>
  <c r="AN42" s="1"/>
  <c r="AM36"/>
  <c r="AM42" s="1"/>
  <c r="AM30"/>
  <c r="AN29"/>
  <c r="AM29"/>
  <c r="AN28"/>
  <c r="AM28"/>
  <c r="AN27"/>
  <c r="AM27"/>
  <c r="AN24"/>
  <c r="AM24"/>
  <c r="AN23"/>
  <c r="AM23"/>
  <c r="AN22"/>
  <c r="AM22"/>
  <c r="AN21"/>
  <c r="AM21"/>
  <c r="AN20"/>
  <c r="AM20"/>
  <c r="AN19"/>
  <c r="AM19"/>
  <c r="AN18"/>
  <c r="AM18"/>
  <c r="AN17"/>
  <c r="AM17"/>
  <c r="AN16"/>
  <c r="AM16"/>
  <c r="AN15"/>
  <c r="AM15"/>
  <c r="AN14"/>
  <c r="AM14"/>
  <c r="AM31" s="1"/>
  <c r="AN10"/>
  <c r="AM10"/>
  <c r="AN9"/>
  <c r="AM9"/>
  <c r="AN8"/>
  <c r="AM8"/>
  <c r="AN7"/>
  <c r="AM7"/>
  <c r="AN6"/>
  <c r="AN11" s="1"/>
  <c r="AM6"/>
  <c r="AM11" s="1"/>
  <c r="V26" i="3" s="1"/>
  <c r="AL57" i="8"/>
  <c r="AK57"/>
  <c r="AK56"/>
  <c r="AK55"/>
  <c r="AK54"/>
  <c r="AK53"/>
  <c r="AK52"/>
  <c r="AK51"/>
  <c r="AK50"/>
  <c r="AK49"/>
  <c r="AK48"/>
  <c r="AK47"/>
  <c r="AK46"/>
  <c r="AL45"/>
  <c r="AK45"/>
  <c r="AL44"/>
  <c r="AK44"/>
  <c r="X34" i="3" s="1"/>
  <c r="AL43" i="8"/>
  <c r="AK43"/>
  <c r="AL40"/>
  <c r="AK40"/>
  <c r="X32" i="3" s="1"/>
  <c r="AL39" i="8"/>
  <c r="AK39"/>
  <c r="X31" i="3" s="1"/>
  <c r="AL38" i="8"/>
  <c r="AK38"/>
  <c r="X30" i="3" s="1"/>
  <c r="AL37" i="8"/>
  <c r="AK37"/>
  <c r="X29" i="3" s="1"/>
  <c r="AL36" i="8"/>
  <c r="AL42" s="1"/>
  <c r="AK36"/>
  <c r="AK30"/>
  <c r="U21" i="3" s="1"/>
  <c r="AL29" i="8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/>
  <c r="X19" i="3" s="1"/>
  <c r="AL23" i="8"/>
  <c r="AK23"/>
  <c r="X18" i="3" s="1"/>
  <c r="AL22" i="8"/>
  <c r="AK22"/>
  <c r="X17" i="3" s="1"/>
  <c r="AL21" i="8"/>
  <c r="AK21"/>
  <c r="X16" i="3" s="1"/>
  <c r="AL20" i="8"/>
  <c r="AK20"/>
  <c r="X15" i="3" s="1"/>
  <c r="AL19" i="8"/>
  <c r="AK19"/>
  <c r="X14" i="3" s="1"/>
  <c r="AL18" i="8"/>
  <c r="AK18"/>
  <c r="X13" i="3" s="1"/>
  <c r="AL17" i="8"/>
  <c r="AK17"/>
  <c r="X12" i="3" s="1"/>
  <c r="AL16" i="8"/>
  <c r="AK16"/>
  <c r="X11" i="3" s="1"/>
  <c r="AL15" i="8"/>
  <c r="AK15"/>
  <c r="X10" i="3" s="1"/>
  <c r="AL14" i="8"/>
  <c r="AK14"/>
  <c r="AL10"/>
  <c r="AL9"/>
  <c r="AK9"/>
  <c r="AL8"/>
  <c r="AK8"/>
  <c r="AL7"/>
  <c r="AK7"/>
  <c r="AL6"/>
  <c r="AK6"/>
  <c r="AK11" s="1"/>
  <c r="AJ57"/>
  <c r="AI57"/>
  <c r="AI56"/>
  <c r="AI55"/>
  <c r="AI54"/>
  <c r="AI53"/>
  <c r="AI52"/>
  <c r="AI51"/>
  <c r="AI50"/>
  <c r="AI49"/>
  <c r="AI48"/>
  <c r="AI47"/>
  <c r="AI46"/>
  <c r="AJ45"/>
  <c r="AI45"/>
  <c r="AJ44"/>
  <c r="W34" i="3" s="1"/>
  <c r="AI44" i="8"/>
  <c r="V34" i="3" s="1"/>
  <c r="AJ43" i="8"/>
  <c r="AI43"/>
  <c r="AJ40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/>
  <c r="AI30"/>
  <c r="AJ29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/>
  <c r="AI10"/>
  <c r="CJ10" s="1"/>
  <c r="S28" i="2" s="1"/>
  <c r="S26" s="1"/>
  <c r="AJ9" i="8"/>
  <c r="AI9"/>
  <c r="AJ8"/>
  <c r="AI8"/>
  <c r="AJ7"/>
  <c r="AI7"/>
  <c r="AJ6"/>
  <c r="AJ11" s="1"/>
  <c r="AI6"/>
  <c r="AI11" s="1"/>
  <c r="T26" i="3" s="1"/>
  <c r="CV30" i="7"/>
  <c r="CS30"/>
  <c r="CP30"/>
  <c r="CM30"/>
  <c r="CJ30"/>
  <c r="CG30"/>
  <c r="CD30"/>
  <c r="CA30"/>
  <c r="BX30"/>
  <c r="BU30"/>
  <c r="BC30"/>
  <c r="CV56"/>
  <c r="CV55"/>
  <c r="CV54"/>
  <c r="CV53"/>
  <c r="CV52"/>
  <c r="CV51"/>
  <c r="CV50"/>
  <c r="CV49"/>
  <c r="CV48"/>
  <c r="CV47"/>
  <c r="CV46"/>
  <c r="CW44"/>
  <c r="CV44"/>
  <c r="CX44" s="1"/>
  <c r="CW40"/>
  <c r="CV40"/>
  <c r="CX40" s="1"/>
  <c r="CW39"/>
  <c r="CV39"/>
  <c r="CX39" s="1"/>
  <c r="CW38"/>
  <c r="CV38"/>
  <c r="CX38" s="1"/>
  <c r="CW37"/>
  <c r="CV37"/>
  <c r="CX37" s="1"/>
  <c r="CW36"/>
  <c r="CV36"/>
  <c r="CX36" s="1"/>
  <c r="CX29"/>
  <c r="CX28"/>
  <c r="CX27"/>
  <c r="CW26"/>
  <c r="CV26"/>
  <c r="CW25"/>
  <c r="CV25"/>
  <c r="CW24"/>
  <c r="CV24"/>
  <c r="CW23"/>
  <c r="CV23"/>
  <c r="CW22"/>
  <c r="CV22"/>
  <c r="CW21"/>
  <c r="CV21"/>
  <c r="CW20"/>
  <c r="CV20"/>
  <c r="CW19"/>
  <c r="CV19"/>
  <c r="CW18"/>
  <c r="CV18"/>
  <c r="CW17"/>
  <c r="CV17"/>
  <c r="CW16"/>
  <c r="CV16"/>
  <c r="CW15"/>
  <c r="CV15"/>
  <c r="CW14"/>
  <c r="CV14"/>
  <c r="CV31" s="1"/>
  <c r="CW10"/>
  <c r="CW9"/>
  <c r="CV9"/>
  <c r="CX9" s="1"/>
  <c r="CW8"/>
  <c r="CV8"/>
  <c r="CX8" s="1"/>
  <c r="CW7"/>
  <c r="CV7"/>
  <c r="CX7" s="1"/>
  <c r="CW6"/>
  <c r="CV6"/>
  <c r="CV11" s="1"/>
  <c r="CS56"/>
  <c r="CS55"/>
  <c r="CS54"/>
  <c r="CS53"/>
  <c r="CS52"/>
  <c r="CS51"/>
  <c r="CS50"/>
  <c r="CS49"/>
  <c r="CS48"/>
  <c r="CS47"/>
  <c r="CS46"/>
  <c r="CT44"/>
  <c r="CS44"/>
  <c r="CU44" s="1"/>
  <c r="CT40"/>
  <c r="CS40"/>
  <c r="CU40" s="1"/>
  <c r="CT39"/>
  <c r="CS39"/>
  <c r="CU39" s="1"/>
  <c r="CT38"/>
  <c r="CS38"/>
  <c r="CU38" s="1"/>
  <c r="CT37"/>
  <c r="CS37"/>
  <c r="CU37" s="1"/>
  <c r="CT36"/>
  <c r="CS36"/>
  <c r="CU36" s="1"/>
  <c r="CU29"/>
  <c r="CU28"/>
  <c r="CU27"/>
  <c r="CT26"/>
  <c r="CS26"/>
  <c r="CT25"/>
  <c r="CS25"/>
  <c r="CT24"/>
  <c r="CS24"/>
  <c r="CT23"/>
  <c r="CS23"/>
  <c r="CT22"/>
  <c r="CS22"/>
  <c r="CT21"/>
  <c r="CS21"/>
  <c r="CT20"/>
  <c r="CS20"/>
  <c r="CT19"/>
  <c r="CS19"/>
  <c r="CT18"/>
  <c r="CS18"/>
  <c r="CT17"/>
  <c r="CS17"/>
  <c r="CT16"/>
  <c r="CS16"/>
  <c r="CT15"/>
  <c r="CS15"/>
  <c r="CT14"/>
  <c r="CS14"/>
  <c r="CT10"/>
  <c r="CT9"/>
  <c r="CS9"/>
  <c r="CU9" s="1"/>
  <c r="CT8"/>
  <c r="CS8"/>
  <c r="CU8" s="1"/>
  <c r="CT7"/>
  <c r="CS7"/>
  <c r="CU7" s="1"/>
  <c r="CT6"/>
  <c r="CS6"/>
  <c r="CS11" s="1"/>
  <c r="CP56"/>
  <c r="CP55"/>
  <c r="CP54"/>
  <c r="CP53"/>
  <c r="CP52"/>
  <c r="CP51"/>
  <c r="CP50"/>
  <c r="CP49"/>
  <c r="CP48"/>
  <c r="CP47"/>
  <c r="CP46"/>
  <c r="CQ44"/>
  <c r="CP44"/>
  <c r="CR44" s="1"/>
  <c r="CQ40"/>
  <c r="CP40"/>
  <c r="CR40" s="1"/>
  <c r="CQ39"/>
  <c r="CP39"/>
  <c r="CR39" s="1"/>
  <c r="CQ38"/>
  <c r="CP38"/>
  <c r="CR38" s="1"/>
  <c r="CQ37"/>
  <c r="CP37"/>
  <c r="CR37" s="1"/>
  <c r="CQ36"/>
  <c r="CP36"/>
  <c r="CR36" s="1"/>
  <c r="CR29"/>
  <c r="CR28"/>
  <c r="CR27"/>
  <c r="CQ26"/>
  <c r="CP26"/>
  <c r="CQ25"/>
  <c r="CP25"/>
  <c r="CQ24"/>
  <c r="CP24"/>
  <c r="CQ23"/>
  <c r="CP23"/>
  <c r="CQ22"/>
  <c r="CP22"/>
  <c r="CQ21"/>
  <c r="CP21"/>
  <c r="CQ20"/>
  <c r="CP20"/>
  <c r="CQ19"/>
  <c r="CP19"/>
  <c r="CQ18"/>
  <c r="CP18"/>
  <c r="CQ17"/>
  <c r="CP17"/>
  <c r="CQ16"/>
  <c r="CP16"/>
  <c r="CQ15"/>
  <c r="CP15"/>
  <c r="CQ14"/>
  <c r="CP14"/>
  <c r="CQ9"/>
  <c r="CP9"/>
  <c r="CQ8"/>
  <c r="CP8"/>
  <c r="CQ7"/>
  <c r="CP7"/>
  <c r="CQ6"/>
  <c r="CQ11" s="1"/>
  <c r="CP6"/>
  <c r="CP11" s="1"/>
  <c r="CM56"/>
  <c r="CM55"/>
  <c r="CM54"/>
  <c r="CM53"/>
  <c r="CM52"/>
  <c r="CM51"/>
  <c r="CM50"/>
  <c r="CM49"/>
  <c r="CM48"/>
  <c r="CM47"/>
  <c r="CM46"/>
  <c r="CN44"/>
  <c r="CM44"/>
  <c r="CN40"/>
  <c r="CM40"/>
  <c r="CN39"/>
  <c r="CM39"/>
  <c r="CN38"/>
  <c r="CM38"/>
  <c r="CN37"/>
  <c r="CM37"/>
  <c r="CN36"/>
  <c r="CM36"/>
  <c r="CO29"/>
  <c r="CO28"/>
  <c r="CO27"/>
  <c r="CN26"/>
  <c r="CM26"/>
  <c r="CO26" s="1"/>
  <c r="CN25"/>
  <c r="CM25"/>
  <c r="CO25" s="1"/>
  <c r="CN24"/>
  <c r="CM24"/>
  <c r="CO24" s="1"/>
  <c r="CN23"/>
  <c r="CM23"/>
  <c r="CO23" s="1"/>
  <c r="CN22"/>
  <c r="CM22"/>
  <c r="CO22" s="1"/>
  <c r="CN21"/>
  <c r="CM21"/>
  <c r="CO21" s="1"/>
  <c r="CN20"/>
  <c r="CM20"/>
  <c r="CO20" s="1"/>
  <c r="CN19"/>
  <c r="CM19"/>
  <c r="CO19" s="1"/>
  <c r="CN18"/>
  <c r="CM18"/>
  <c r="CO18" s="1"/>
  <c r="CN17"/>
  <c r="CM17"/>
  <c r="CO17" s="1"/>
  <c r="CN16"/>
  <c r="CM16"/>
  <c r="CO16" s="1"/>
  <c r="CN15"/>
  <c r="CM15"/>
  <c r="CO15" s="1"/>
  <c r="CN14"/>
  <c r="CM14"/>
  <c r="CM31" s="1"/>
  <c r="CN9"/>
  <c r="CM9"/>
  <c r="CO9" s="1"/>
  <c r="CN8"/>
  <c r="CM8"/>
  <c r="CO8" s="1"/>
  <c r="CN7"/>
  <c r="CM7"/>
  <c r="CO7" s="1"/>
  <c r="CN6"/>
  <c r="CN11" s="1"/>
  <c r="CM6"/>
  <c r="CM11" s="1"/>
  <c r="CJ56"/>
  <c r="CJ55"/>
  <c r="CJ54"/>
  <c r="CJ53"/>
  <c r="CJ52"/>
  <c r="CJ51"/>
  <c r="CJ50"/>
  <c r="CJ49"/>
  <c r="CJ48"/>
  <c r="CJ47"/>
  <c r="CJ46"/>
  <c r="CK44"/>
  <c r="CJ44"/>
  <c r="CL44" s="1"/>
  <c r="CK40"/>
  <c r="CJ40"/>
  <c r="CL40" s="1"/>
  <c r="CK39"/>
  <c r="CJ39"/>
  <c r="CL39" s="1"/>
  <c r="CK38"/>
  <c r="CJ38"/>
  <c r="CL38" s="1"/>
  <c r="CK37"/>
  <c r="CJ37"/>
  <c r="CL37" s="1"/>
  <c r="CK36"/>
  <c r="CJ36"/>
  <c r="CL36" s="1"/>
  <c r="CL29"/>
  <c r="CL28"/>
  <c r="CL27"/>
  <c r="CK26"/>
  <c r="CJ26"/>
  <c r="CK25"/>
  <c r="CJ25"/>
  <c r="CK24"/>
  <c r="CJ24"/>
  <c r="CK23"/>
  <c r="CJ23"/>
  <c r="CK22"/>
  <c r="CJ22"/>
  <c r="CK21"/>
  <c r="CJ21"/>
  <c r="CK20"/>
  <c r="CJ20"/>
  <c r="CK19"/>
  <c r="CJ19"/>
  <c r="CK18"/>
  <c r="CJ18"/>
  <c r="CK17"/>
  <c r="CJ17"/>
  <c r="CK16"/>
  <c r="CJ16"/>
  <c r="CK15"/>
  <c r="CJ15"/>
  <c r="CK14"/>
  <c r="CJ14"/>
  <c r="CJ31" s="1"/>
  <c r="CK9"/>
  <c r="CJ9"/>
  <c r="CK8"/>
  <c r="CJ8"/>
  <c r="CK7"/>
  <c r="CJ7"/>
  <c r="CK6"/>
  <c r="CK11" s="1"/>
  <c r="CJ6"/>
  <c r="CJ11" s="1"/>
  <c r="CG56"/>
  <c r="CG55"/>
  <c r="CG54"/>
  <c r="CG53"/>
  <c r="CG52"/>
  <c r="CG51"/>
  <c r="CG50"/>
  <c r="CG49"/>
  <c r="CG48"/>
  <c r="CG47"/>
  <c r="CG46"/>
  <c r="CH44"/>
  <c r="CG44"/>
  <c r="CH40"/>
  <c r="CG40"/>
  <c r="CH39"/>
  <c r="CG39"/>
  <c r="CH38"/>
  <c r="CG38"/>
  <c r="CH37"/>
  <c r="CG37"/>
  <c r="CH36"/>
  <c r="CG36"/>
  <c r="CH26"/>
  <c r="CG26"/>
  <c r="CH25"/>
  <c r="CG25"/>
  <c r="CH24"/>
  <c r="CG24"/>
  <c r="CH23"/>
  <c r="CG23"/>
  <c r="CH22"/>
  <c r="CG22"/>
  <c r="CH21"/>
  <c r="CG21"/>
  <c r="CH20"/>
  <c r="CG20"/>
  <c r="CH19"/>
  <c r="CG19"/>
  <c r="CH18"/>
  <c r="CG18"/>
  <c r="CH17"/>
  <c r="CG17"/>
  <c r="CH16"/>
  <c r="CG16"/>
  <c r="CH15"/>
  <c r="CG15"/>
  <c r="CH14"/>
  <c r="CG14"/>
  <c r="CH9"/>
  <c r="CG9"/>
  <c r="CH8"/>
  <c r="CG8"/>
  <c r="CH7"/>
  <c r="CG7"/>
  <c r="CH6"/>
  <c r="CH11" s="1"/>
  <c r="CG6"/>
  <c r="CG11" s="1"/>
  <c r="E30"/>
  <c r="AU30"/>
  <c r="AG30" i="8"/>
  <c r="AE30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/>
  <c r="I30"/>
  <c r="H30"/>
  <c r="G30"/>
  <c r="D30"/>
  <c r="C30"/>
  <c r="B30"/>
  <c r="AV30" s="1"/>
  <c r="A30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/>
  <c r="AQ58" s="1"/>
  <c r="AQ31"/>
  <c r="AQ33" s="1"/>
  <c r="AP56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/>
  <c r="AO58" s="1"/>
  <c r="AO31"/>
  <c r="AN56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/>
  <c r="AM58" s="1"/>
  <c r="AM31"/>
  <c r="AL56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/>
  <c r="AK58" s="1"/>
  <c r="AK31"/>
  <c r="AJ56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/>
  <c r="AI58" s="1"/>
  <c r="AI31"/>
  <c r="AI33" s="1"/>
  <c r="AG31"/>
  <c r="AE31"/>
  <c r="AC31"/>
  <c r="AA31"/>
  <c r="Y31"/>
  <c r="W31"/>
  <c r="U31"/>
  <c r="S31"/>
  <c r="Q31"/>
  <c r="O31"/>
  <c r="M31"/>
  <c r="K31"/>
  <c r="I31"/>
  <c r="P220" i="27"/>
  <c r="T206" s="1"/>
  <c r="D219"/>
  <c r="D218"/>
  <c r="D217"/>
  <c r="D216"/>
  <c r="D215"/>
  <c r="D214"/>
  <c r="D213"/>
  <c r="D212"/>
  <c r="D211"/>
  <c r="D210"/>
  <c r="D209"/>
  <c r="D148"/>
  <c r="T119"/>
  <c r="T117"/>
  <c r="T115"/>
  <c r="T113"/>
  <c r="T110"/>
  <c r="T108"/>
  <c r="T106"/>
  <c r="T104"/>
  <c r="T102"/>
  <c r="T15"/>
  <c r="T13"/>
  <c r="T11"/>
  <c r="T9"/>
  <c r="T7"/>
  <c r="T5"/>
  <c r="D5"/>
  <c r="D6" s="1"/>
  <c r="D7" s="1"/>
  <c r="D8" s="1"/>
  <c r="D9" s="1"/>
  <c r="D10" s="1"/>
  <c r="D11" s="1"/>
  <c r="D12" s="1"/>
  <c r="D13" s="1"/>
  <c r="D14" s="1"/>
  <c r="D15" s="1"/>
  <c r="T4"/>
  <c r="T6" l="1"/>
  <c r="Y15" s="1"/>
  <c r="J30" i="8" s="1"/>
  <c r="T8" i="27"/>
  <c r="T10"/>
  <c r="T12"/>
  <c r="T14"/>
  <c r="T101"/>
  <c r="T103"/>
  <c r="T105"/>
  <c r="T107"/>
  <c r="T109"/>
  <c r="T111"/>
  <c r="T114"/>
  <c r="T116"/>
  <c r="T118"/>
  <c r="T120"/>
  <c r="T122"/>
  <c r="T125"/>
  <c r="T127"/>
  <c r="T129"/>
  <c r="T131"/>
  <c r="T133"/>
  <c r="T135"/>
  <c r="T138"/>
  <c r="T140"/>
  <c r="T142"/>
  <c r="T144"/>
  <c r="T146"/>
  <c r="T149"/>
  <c r="T151"/>
  <c r="T153"/>
  <c r="T155"/>
  <c r="T157"/>
  <c r="T159"/>
  <c r="T162"/>
  <c r="T164"/>
  <c r="T166"/>
  <c r="T168"/>
  <c r="T173"/>
  <c r="T177"/>
  <c r="T181"/>
  <c r="T186"/>
  <c r="T190"/>
  <c r="T194"/>
  <c r="T201"/>
  <c r="CL7" i="7"/>
  <c r="CL8"/>
  <c r="CL9"/>
  <c r="CL15"/>
  <c r="CL16"/>
  <c r="CL17"/>
  <c r="CL18"/>
  <c r="CL19"/>
  <c r="CL20"/>
  <c r="CL21"/>
  <c r="CL22"/>
  <c r="CL23"/>
  <c r="CL24"/>
  <c r="CL25"/>
  <c r="CL26"/>
  <c r="CO36"/>
  <c r="CO37"/>
  <c r="CO38"/>
  <c r="CO39"/>
  <c r="CO40"/>
  <c r="CO44"/>
  <c r="CR7"/>
  <c r="CR8"/>
  <c r="CR9"/>
  <c r="CR15"/>
  <c r="CR16"/>
  <c r="CR17"/>
  <c r="CR18"/>
  <c r="CR19"/>
  <c r="CR20"/>
  <c r="CR21"/>
  <c r="CR22"/>
  <c r="CR23"/>
  <c r="CR24"/>
  <c r="CR25"/>
  <c r="CR26"/>
  <c r="CT11"/>
  <c r="CS31"/>
  <c r="CU15"/>
  <c r="CU16"/>
  <c r="CU17"/>
  <c r="CU18"/>
  <c r="CU19"/>
  <c r="CU20"/>
  <c r="CU21"/>
  <c r="CU22"/>
  <c r="CU23"/>
  <c r="CU24"/>
  <c r="CU25"/>
  <c r="CU26"/>
  <c r="CW11"/>
  <c r="CX15"/>
  <c r="CX16"/>
  <c r="CX17"/>
  <c r="CX18"/>
  <c r="CX19"/>
  <c r="CX20"/>
  <c r="CX21"/>
  <c r="CX22"/>
  <c r="CX23"/>
  <c r="CX24"/>
  <c r="CX25"/>
  <c r="CX26"/>
  <c r="AL11" i="8"/>
  <c r="CO25"/>
  <c r="CO26"/>
  <c r="CR25"/>
  <c r="CR26"/>
  <c r="CU25"/>
  <c r="CU26"/>
  <c r="CX25"/>
  <c r="CX26"/>
  <c r="T115" i="28"/>
  <c r="T117"/>
  <c r="T119"/>
  <c r="T121"/>
  <c r="T123"/>
  <c r="T126"/>
  <c r="T128"/>
  <c r="T130"/>
  <c r="T132"/>
  <c r="T134"/>
  <c r="T137"/>
  <c r="T139"/>
  <c r="T141"/>
  <c r="T143"/>
  <c r="T145"/>
  <c r="T147"/>
  <c r="T148"/>
  <c r="Y159" s="1"/>
  <c r="T150"/>
  <c r="T152"/>
  <c r="T154"/>
  <c r="T156"/>
  <c r="T158"/>
  <c r="T161"/>
  <c r="T163"/>
  <c r="T165"/>
  <c r="T167"/>
  <c r="T169"/>
  <c r="T171"/>
  <c r="T176"/>
  <c r="T185"/>
  <c r="T193"/>
  <c r="T202"/>
  <c r="T121" i="27"/>
  <c r="T123"/>
  <c r="T126"/>
  <c r="T128"/>
  <c r="T130"/>
  <c r="T132"/>
  <c r="T134"/>
  <c r="T137"/>
  <c r="T139"/>
  <c r="T141"/>
  <c r="T143"/>
  <c r="T145"/>
  <c r="T147"/>
  <c r="T148"/>
  <c r="T150"/>
  <c r="T152"/>
  <c r="T154"/>
  <c r="T156"/>
  <c r="T158"/>
  <c r="T161"/>
  <c r="T163"/>
  <c r="T165"/>
  <c r="T167"/>
  <c r="T170"/>
  <c r="T175"/>
  <c r="T179"/>
  <c r="T183"/>
  <c r="T188"/>
  <c r="T192"/>
  <c r="T197"/>
  <c r="T205"/>
  <c r="U26" i="3"/>
  <c r="W59" i="1" s="1"/>
  <c r="AO59" i="8"/>
  <c r="AO61" s="1"/>
  <c r="N296" i="25"/>
  <c r="AM59" i="8"/>
  <c r="AM61" s="1"/>
  <c r="AQ59"/>
  <c r="AQ61" s="1"/>
  <c r="AJ59"/>
  <c r="V36" i="3"/>
  <c r="AL59" i="8"/>
  <c r="X36" i="3"/>
  <c r="AN59" i="8"/>
  <c r="AP59"/>
  <c r="AP61" s="1"/>
  <c r="AR59"/>
  <c r="I21" i="3"/>
  <c r="E30" i="8"/>
  <c r="CG30"/>
  <c r="R25" i="2" s="1"/>
  <c r="S21" i="3"/>
  <c r="AI42" i="8"/>
  <c r="V28" i="3"/>
  <c r="AI59" i="8"/>
  <c r="U36" i="3"/>
  <c r="AK42" i="8"/>
  <c r="X28" i="3"/>
  <c r="AK59" i="8"/>
  <c r="W36" i="3"/>
  <c r="V59" i="1"/>
  <c r="T25" i="3"/>
  <c r="AI31" i="8"/>
  <c r="V9" i="3"/>
  <c r="CJ30" i="8"/>
  <c r="S25" i="2" s="1"/>
  <c r="T21" i="3"/>
  <c r="AJ42" i="8"/>
  <c r="AJ61" s="1"/>
  <c r="W28" i="3"/>
  <c r="W27" s="1"/>
  <c r="AK31" i="8"/>
  <c r="X9" i="3"/>
  <c r="CM30" i="8"/>
  <c r="T25" i="2" s="1"/>
  <c r="X59" i="1"/>
  <c r="V25" i="3"/>
  <c r="CP30" i="8"/>
  <c r="U25" i="2" s="1"/>
  <c r="V21" i="3"/>
  <c r="Y59" i="1"/>
  <c r="W25" i="3"/>
  <c r="CS30" i="8"/>
  <c r="W21" i="3"/>
  <c r="W8" s="1"/>
  <c r="Y60" i="1" s="1"/>
  <c r="Z59"/>
  <c r="X25" i="3"/>
  <c r="CV30" i="8"/>
  <c r="X21" i="3"/>
  <c r="AL61" i="8"/>
  <c r="AN61"/>
  <c r="AR61"/>
  <c r="CL10" i="7"/>
  <c r="CO10"/>
  <c r="CR10"/>
  <c r="CU10"/>
  <c r="CX10"/>
  <c r="T172" i="28"/>
  <c r="T174"/>
  <c r="T178"/>
  <c r="T182"/>
  <c r="T187"/>
  <c r="T191"/>
  <c r="T195"/>
  <c r="T200"/>
  <c r="T204"/>
  <c r="T175"/>
  <c r="T177"/>
  <c r="T179"/>
  <c r="T181"/>
  <c r="T183"/>
  <c r="T186"/>
  <c r="T188"/>
  <c r="T190"/>
  <c r="T192"/>
  <c r="T194"/>
  <c r="T197"/>
  <c r="T199"/>
  <c r="T201"/>
  <c r="T203"/>
  <c r="T205"/>
  <c r="T207"/>
  <c r="T209"/>
  <c r="T210"/>
  <c r="T211"/>
  <c r="T212"/>
  <c r="T213"/>
  <c r="T214"/>
  <c r="T215"/>
  <c r="T216"/>
  <c r="T217"/>
  <c r="T218"/>
  <c r="Y183"/>
  <c r="T16"/>
  <c r="D16"/>
  <c r="Y15"/>
  <c r="CP31" i="7"/>
  <c r="CD30" i="8"/>
  <c r="Q25" i="2" s="1"/>
  <c r="BX30" i="8"/>
  <c r="O25" i="2" s="1"/>
  <c r="BL30" i="8"/>
  <c r="K25" i="2" s="1"/>
  <c r="BR30" i="8"/>
  <c r="M25" i="2" s="1"/>
  <c r="BF30" i="8"/>
  <c r="I25" i="2" s="1"/>
  <c r="T199" i="27"/>
  <c r="T203"/>
  <c r="T207"/>
  <c r="T209"/>
  <c r="T210"/>
  <c r="T211"/>
  <c r="T212"/>
  <c r="T213"/>
  <c r="T214"/>
  <c r="T215"/>
  <c r="T216"/>
  <c r="T217"/>
  <c r="T218"/>
  <c r="T219"/>
  <c r="Y159"/>
  <c r="BC30" i="8"/>
  <c r="H25" i="2" s="1"/>
  <c r="BI30" i="8"/>
  <c r="J25" i="2" s="1"/>
  <c r="BO30" i="8"/>
  <c r="L25" i="2" s="1"/>
  <c r="BU30" i="8"/>
  <c r="N25" i="2" s="1"/>
  <c r="CA30" i="8"/>
  <c r="P25" i="2" s="1"/>
  <c r="AQ33" i="8"/>
  <c r="AQ12"/>
  <c r="AO33"/>
  <c r="AO12"/>
  <c r="AM33"/>
  <c r="AM12"/>
  <c r="AK33"/>
  <c r="AK12"/>
  <c r="AI33"/>
  <c r="AI12"/>
  <c r="CV33" i="7"/>
  <c r="CX6"/>
  <c r="CX14"/>
  <c r="CV58"/>
  <c r="CV60" s="1"/>
  <c r="CS33"/>
  <c r="CU6"/>
  <c r="CU14"/>
  <c r="CS58"/>
  <c r="CS60" s="1"/>
  <c r="CP33"/>
  <c r="CR6"/>
  <c r="CR14"/>
  <c r="CP58"/>
  <c r="CM33"/>
  <c r="CO6"/>
  <c r="CO14"/>
  <c r="CM58"/>
  <c r="CM60" s="1"/>
  <c r="CJ33"/>
  <c r="CL6"/>
  <c r="CL14"/>
  <c r="CJ58"/>
  <c r="CJ60" s="1"/>
  <c r="AJ58"/>
  <c r="AP58"/>
  <c r="AO59" s="1"/>
  <c r="CI7"/>
  <c r="CI8"/>
  <c r="CI9"/>
  <c r="CI10"/>
  <c r="CG31"/>
  <c r="CG33" s="1"/>
  <c r="CI15"/>
  <c r="CI16"/>
  <c r="CI17"/>
  <c r="CI18"/>
  <c r="CI19"/>
  <c r="CI20"/>
  <c r="CI21"/>
  <c r="CI22"/>
  <c r="CI23"/>
  <c r="CI24"/>
  <c r="CI25"/>
  <c r="CI26"/>
  <c r="CI36"/>
  <c r="CI37"/>
  <c r="CI38"/>
  <c r="CI39"/>
  <c r="CI40"/>
  <c r="CI44"/>
  <c r="AN58"/>
  <c r="CI6"/>
  <c r="CI14"/>
  <c r="CG58"/>
  <c r="AL58"/>
  <c r="AK59" s="1"/>
  <c r="AR58"/>
  <c r="AQ59" s="1"/>
  <c r="AH30" i="8"/>
  <c r="AK33" i="7"/>
  <c r="AM33"/>
  <c r="AO33"/>
  <c r="AQ60"/>
  <c r="AQ12"/>
  <c r="AO60"/>
  <c r="AO12"/>
  <c r="AM59"/>
  <c r="AM60"/>
  <c r="AM12"/>
  <c r="AK60"/>
  <c r="AK12"/>
  <c r="AI59"/>
  <c r="AI60"/>
  <c r="AI12"/>
  <c r="D16" i="27"/>
  <c r="T16"/>
  <c r="T169"/>
  <c r="T171"/>
  <c r="T172"/>
  <c r="T174"/>
  <c r="T176"/>
  <c r="T178"/>
  <c r="T180"/>
  <c r="T182"/>
  <c r="T185"/>
  <c r="T187"/>
  <c r="T189"/>
  <c r="T191"/>
  <c r="T193"/>
  <c r="T195"/>
  <c r="T198"/>
  <c r="T200"/>
  <c r="T202"/>
  <c r="T204"/>
  <c r="CO11" i="7" l="1"/>
  <c r="CP60"/>
  <c r="CU11"/>
  <c r="X27" i="3"/>
  <c r="D21"/>
  <c r="U25"/>
  <c r="AO63" i="8"/>
  <c r="AO62"/>
  <c r="CL11" i="7"/>
  <c r="CR11"/>
  <c r="CX11"/>
  <c r="AM62" i="8"/>
  <c r="AM63"/>
  <c r="AQ62"/>
  <c r="AQ63"/>
  <c r="V27" i="3"/>
  <c r="Y58" i="1"/>
  <c r="Y56" s="1"/>
  <c r="X8" i="3"/>
  <c r="Z60" i="1" s="1"/>
  <c r="Z58" s="1"/>
  <c r="Z56" s="1"/>
  <c r="W37" i="3"/>
  <c r="V8"/>
  <c r="X60" i="1" s="1"/>
  <c r="X58" s="1"/>
  <c r="X56" s="1"/>
  <c r="AK61" i="8"/>
  <c r="AI61"/>
  <c r="Y183" i="27"/>
  <c r="D25" i="28"/>
  <c r="D23"/>
  <c r="D22"/>
  <c r="D20"/>
  <c r="D18"/>
  <c r="D28"/>
  <c r="T27"/>
  <c r="T26"/>
  <c r="T25"/>
  <c r="T24"/>
  <c r="T23"/>
  <c r="T22"/>
  <c r="T21"/>
  <c r="T20"/>
  <c r="T19"/>
  <c r="T18"/>
  <c r="T17"/>
  <c r="T28"/>
  <c r="D27"/>
  <c r="D26"/>
  <c r="D24"/>
  <c r="D21"/>
  <c r="D19"/>
  <c r="D17"/>
  <c r="CI11" i="7"/>
  <c r="J31"/>
  <c r="CG60"/>
  <c r="T28" i="27"/>
  <c r="D26"/>
  <c r="D25"/>
  <c r="D23"/>
  <c r="D21"/>
  <c r="D19"/>
  <c r="D18"/>
  <c r="D28"/>
  <c r="T27"/>
  <c r="T26"/>
  <c r="T25"/>
  <c r="T24"/>
  <c r="T23"/>
  <c r="T22"/>
  <c r="T21"/>
  <c r="T20"/>
  <c r="T19"/>
  <c r="T18"/>
  <c r="T17"/>
  <c r="D27"/>
  <c r="D24"/>
  <c r="D22"/>
  <c r="D20"/>
  <c r="D17"/>
  <c r="AI63" i="8" l="1"/>
  <c r="AI62"/>
  <c r="V37" i="3"/>
  <c r="AK62" i="8"/>
  <c r="AK63"/>
  <c r="X37" i="3"/>
  <c r="Y27" i="28"/>
  <c r="T39"/>
  <c r="T37"/>
  <c r="T35"/>
  <c r="T33"/>
  <c r="T31"/>
  <c r="T29"/>
  <c r="T40"/>
  <c r="D39"/>
  <c r="D38"/>
  <c r="D37"/>
  <c r="D36"/>
  <c r="D35"/>
  <c r="D34"/>
  <c r="D33"/>
  <c r="D32"/>
  <c r="D31"/>
  <c r="D30"/>
  <c r="D29"/>
  <c r="D40"/>
  <c r="T38"/>
  <c r="T36"/>
  <c r="T34"/>
  <c r="T32"/>
  <c r="T30"/>
  <c r="AL31" i="7"/>
  <c r="AL30" i="8"/>
  <c r="AL31" s="1"/>
  <c r="Y27" i="27"/>
  <c r="T39"/>
  <c r="T36"/>
  <c r="T35"/>
  <c r="T32"/>
  <c r="T30"/>
  <c r="T40"/>
  <c r="D39"/>
  <c r="D38"/>
  <c r="D37"/>
  <c r="D36"/>
  <c r="D35"/>
  <c r="D34"/>
  <c r="D33"/>
  <c r="D32"/>
  <c r="D31"/>
  <c r="D30"/>
  <c r="D29"/>
  <c r="D40"/>
  <c r="T38"/>
  <c r="T37"/>
  <c r="T34"/>
  <c r="T33"/>
  <c r="T31"/>
  <c r="T29"/>
  <c r="Y39" i="28" l="1"/>
  <c r="T52"/>
  <c r="D51"/>
  <c r="D49"/>
  <c r="D47"/>
  <c r="D45"/>
  <c r="D43"/>
  <c r="D41"/>
  <c r="D52"/>
  <c r="T51"/>
  <c r="T50"/>
  <c r="T49"/>
  <c r="T48"/>
  <c r="T47"/>
  <c r="T46"/>
  <c r="T45"/>
  <c r="T44"/>
  <c r="T43"/>
  <c r="T42"/>
  <c r="T41"/>
  <c r="D50"/>
  <c r="D48"/>
  <c r="D46"/>
  <c r="D44"/>
  <c r="D42"/>
  <c r="AK32" i="8"/>
  <c r="AL33"/>
  <c r="AK34" s="1"/>
  <c r="AL63"/>
  <c r="U39" i="3" s="1"/>
  <c r="W20" i="1" s="1"/>
  <c r="AL60" i="7"/>
  <c r="AL61" s="1"/>
  <c r="AK32"/>
  <c r="AL33"/>
  <c r="AK34" s="1"/>
  <c r="L30" i="8"/>
  <c r="Y39" i="27"/>
  <c r="T52"/>
  <c r="D51"/>
  <c r="D49"/>
  <c r="D47"/>
  <c r="D45"/>
  <c r="D44"/>
  <c r="D42"/>
  <c r="D41"/>
  <c r="D52"/>
  <c r="T51"/>
  <c r="T50"/>
  <c r="T49"/>
  <c r="T48"/>
  <c r="T47"/>
  <c r="T46"/>
  <c r="T45"/>
  <c r="T44"/>
  <c r="T43"/>
  <c r="T42"/>
  <c r="T41"/>
  <c r="D50"/>
  <c r="D48"/>
  <c r="D46"/>
  <c r="D43"/>
  <c r="Y51" l="1"/>
  <c r="AL64" i="8"/>
  <c r="T63" i="28"/>
  <c r="T61"/>
  <c r="T59"/>
  <c r="T57"/>
  <c r="T54"/>
  <c r="T64"/>
  <c r="D63"/>
  <c r="D62"/>
  <c r="D61"/>
  <c r="D60"/>
  <c r="D59"/>
  <c r="D58"/>
  <c r="D57"/>
  <c r="D56"/>
  <c r="D55"/>
  <c r="D54"/>
  <c r="D53"/>
  <c r="D64"/>
  <c r="T62"/>
  <c r="T60"/>
  <c r="T58"/>
  <c r="T56"/>
  <c r="T55"/>
  <c r="T53"/>
  <c r="Y51"/>
  <c r="P30" i="8"/>
  <c r="N30"/>
  <c r="D64" i="27"/>
  <c r="T62"/>
  <c r="T60"/>
  <c r="T59"/>
  <c r="T56"/>
  <c r="T54"/>
  <c r="T64"/>
  <c r="D63"/>
  <c r="D62"/>
  <c r="D61"/>
  <c r="D60"/>
  <c r="D59"/>
  <c r="D58"/>
  <c r="D57"/>
  <c r="D56"/>
  <c r="D55"/>
  <c r="D54"/>
  <c r="D53"/>
  <c r="T63"/>
  <c r="T61"/>
  <c r="T58"/>
  <c r="T57"/>
  <c r="T55"/>
  <c r="T53"/>
  <c r="Y63" i="28" l="1"/>
  <c r="T76"/>
  <c r="D73"/>
  <c r="D69"/>
  <c r="D67"/>
  <c r="D65"/>
  <c r="D76"/>
  <c r="T75"/>
  <c r="T74"/>
  <c r="T73"/>
  <c r="T72"/>
  <c r="T71"/>
  <c r="T70"/>
  <c r="T69"/>
  <c r="T68"/>
  <c r="T67"/>
  <c r="T66"/>
  <c r="T65"/>
  <c r="Y75" s="1"/>
  <c r="D75"/>
  <c r="D74"/>
  <c r="D72"/>
  <c r="D71"/>
  <c r="D70"/>
  <c r="D68"/>
  <c r="D66"/>
  <c r="Y63" i="27"/>
  <c r="R30" i="8" s="1"/>
  <c r="T76" i="27"/>
  <c r="D75"/>
  <c r="D74"/>
  <c r="D73"/>
  <c r="D71"/>
  <c r="D69"/>
  <c r="D67"/>
  <c r="D66"/>
  <c r="D76"/>
  <c r="T75"/>
  <c r="T74"/>
  <c r="T73"/>
  <c r="T72"/>
  <c r="T71"/>
  <c r="T70"/>
  <c r="T69"/>
  <c r="T68"/>
  <c r="T67"/>
  <c r="T66"/>
  <c r="T65"/>
  <c r="D72"/>
  <c r="D70"/>
  <c r="D68"/>
  <c r="D65"/>
  <c r="Y75" l="1"/>
  <c r="T87" i="28"/>
  <c r="T82"/>
  <c r="T78"/>
  <c r="T88"/>
  <c r="D87"/>
  <c r="D86"/>
  <c r="D85"/>
  <c r="D84"/>
  <c r="D83"/>
  <c r="D82"/>
  <c r="D81"/>
  <c r="D80"/>
  <c r="D79"/>
  <c r="D78"/>
  <c r="D77"/>
  <c r="D88"/>
  <c r="T86"/>
  <c r="T85"/>
  <c r="T84"/>
  <c r="T83"/>
  <c r="T81"/>
  <c r="T80"/>
  <c r="T79"/>
  <c r="T77"/>
  <c r="T30" i="8"/>
  <c r="T84" i="27"/>
  <c r="T80"/>
  <c r="T77"/>
  <c r="T88"/>
  <c r="D87"/>
  <c r="D86"/>
  <c r="D85"/>
  <c r="D84"/>
  <c r="D83"/>
  <c r="D82"/>
  <c r="D81"/>
  <c r="D80"/>
  <c r="D79"/>
  <c r="D78"/>
  <c r="D77"/>
  <c r="D88"/>
  <c r="T87"/>
  <c r="T86"/>
  <c r="T85"/>
  <c r="T83"/>
  <c r="T82"/>
  <c r="T81"/>
  <c r="T79"/>
  <c r="T78"/>
  <c r="T208" l="1"/>
  <c r="T124"/>
  <c r="T196"/>
  <c r="T112"/>
  <c r="T184"/>
  <c r="T100"/>
  <c r="T160"/>
  <c r="T136"/>
  <c r="Y87" i="28"/>
  <c r="T208"/>
  <c r="T184"/>
  <c r="Y195" s="1"/>
  <c r="T160"/>
  <c r="Y171" s="1"/>
  <c r="T124"/>
  <c r="Y135" s="1"/>
  <c r="T196"/>
  <c r="Y207" s="1"/>
  <c r="T136"/>
  <c r="Y147" s="1"/>
  <c r="T112"/>
  <c r="Y123" s="1"/>
  <c r="D100"/>
  <c r="D112" s="1"/>
  <c r="D124" s="1"/>
  <c r="T99"/>
  <c r="T98"/>
  <c r="T97"/>
  <c r="T96"/>
  <c r="T95"/>
  <c r="T94"/>
  <c r="T93"/>
  <c r="T92"/>
  <c r="T91"/>
  <c r="T90"/>
  <c r="T89"/>
  <c r="Y99" s="1"/>
  <c r="T100"/>
  <c r="Y111" s="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Y87" i="27"/>
  <c r="V30" i="8" s="1"/>
  <c r="Y195" i="27"/>
  <c r="Y135"/>
  <c r="Y207"/>
  <c r="Y147"/>
  <c r="Y123"/>
  <c r="D100"/>
  <c r="D112" s="1"/>
  <c r="D124" s="1"/>
  <c r="T99"/>
  <c r="T98"/>
  <c r="T97"/>
  <c r="T96"/>
  <c r="T95"/>
  <c r="T94"/>
  <c r="T93"/>
  <c r="T92"/>
  <c r="T91"/>
  <c r="T90"/>
  <c r="T89"/>
  <c r="Y99" s="1"/>
  <c r="Y171"/>
  <c r="Y11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N121" i="25"/>
  <c r="N117"/>
  <c r="R113"/>
  <c r="Q113"/>
  <c r="P113"/>
  <c r="N181" i="5"/>
  <c r="N177"/>
  <c r="S173"/>
  <c r="R173"/>
  <c r="Q173"/>
  <c r="U179" s="1"/>
  <c r="P173"/>
  <c r="U177" s="1"/>
  <c r="U24" i="2"/>
  <c r="U23"/>
  <c r="U22"/>
  <c r="AG29" i="8"/>
  <c r="AG28"/>
  <c r="AG27"/>
  <c r="AE29"/>
  <c r="AE28"/>
  <c r="AE27"/>
  <c r="AC29"/>
  <c r="AC28"/>
  <c r="AC27"/>
  <c r="AA29"/>
  <c r="AA28"/>
  <c r="AA27"/>
  <c r="Y29"/>
  <c r="Y28"/>
  <c r="Y27"/>
  <c r="W29"/>
  <c r="W28"/>
  <c r="W27"/>
  <c r="U29"/>
  <c r="U28"/>
  <c r="U27"/>
  <c r="S29"/>
  <c r="S28"/>
  <c r="S27"/>
  <c r="Q29"/>
  <c r="Q28"/>
  <c r="Q27"/>
  <c r="O29"/>
  <c r="O28"/>
  <c r="O27"/>
  <c r="M28"/>
  <c r="M27"/>
  <c r="K29"/>
  <c r="K28"/>
  <c r="K27"/>
  <c r="G58" i="1"/>
  <c r="G56" s="1"/>
  <c r="G31" s="1"/>
  <c r="G47"/>
  <c r="G45" s="1"/>
  <c r="G39"/>
  <c r="G29"/>
  <c r="G22"/>
  <c r="G18"/>
  <c r="G9"/>
  <c r="G8"/>
  <c r="AA119" i="25" l="1"/>
  <c r="T173" i="5"/>
  <c r="N173"/>
  <c r="N113" i="25"/>
  <c r="L113" s="1"/>
  <c r="Z219" i="28"/>
  <c r="T220"/>
  <c r="X30" i="8"/>
  <c r="Z30"/>
  <c r="AB30"/>
  <c r="AP31" i="7"/>
  <c r="AP30" i="8"/>
  <c r="AN30"/>
  <c r="AN31" i="7"/>
  <c r="AJ30" i="8"/>
  <c r="AJ31" i="7"/>
  <c r="AF30" i="8"/>
  <c r="AD30"/>
  <c r="S22" i="3"/>
  <c r="Z219" i="27"/>
  <c r="BY30" i="7" s="1"/>
  <c r="BZ30" s="1"/>
  <c r="T220" i="27"/>
  <c r="Z113" i="25"/>
  <c r="G74" i="1"/>
  <c r="G10"/>
  <c r="G91"/>
  <c r="N233" i="5"/>
  <c r="T231"/>
  <c r="T229"/>
  <c r="N229"/>
  <c r="S225"/>
  <c r="R225"/>
  <c r="Q225"/>
  <c r="P225"/>
  <c r="U229" s="1"/>
  <c r="T157"/>
  <c r="T155"/>
  <c r="N155"/>
  <c r="T153"/>
  <c r="T151"/>
  <c r="N151"/>
  <c r="S147"/>
  <c r="R147"/>
  <c r="U155" s="1"/>
  <c r="Q147"/>
  <c r="U153" s="1"/>
  <c r="P147"/>
  <c r="U151" s="1"/>
  <c r="T131"/>
  <c r="T129"/>
  <c r="N129"/>
  <c r="T127"/>
  <c r="T125"/>
  <c r="N125"/>
  <c r="S121"/>
  <c r="U131" s="1"/>
  <c r="R121"/>
  <c r="U129" s="1"/>
  <c r="Q121"/>
  <c r="U127" s="1"/>
  <c r="P121"/>
  <c r="U125" s="1"/>
  <c r="T118"/>
  <c r="T116"/>
  <c r="N116"/>
  <c r="T114"/>
  <c r="T112"/>
  <c r="N112"/>
  <c r="S108"/>
  <c r="U118" s="1"/>
  <c r="R108"/>
  <c r="U116" s="1"/>
  <c r="Q108"/>
  <c r="U114" s="1"/>
  <c r="P108"/>
  <c r="U112" s="1"/>
  <c r="T105"/>
  <c r="T103"/>
  <c r="N103"/>
  <c r="T101"/>
  <c r="T99"/>
  <c r="N99"/>
  <c r="S95"/>
  <c r="U105" s="1"/>
  <c r="R95"/>
  <c r="U103" s="1"/>
  <c r="Q95"/>
  <c r="U101" s="1"/>
  <c r="P95"/>
  <c r="U99" s="1"/>
  <c r="T92"/>
  <c r="T90"/>
  <c r="N90"/>
  <c r="T88"/>
  <c r="T86"/>
  <c r="N86"/>
  <c r="S82"/>
  <c r="U92" s="1"/>
  <c r="R82"/>
  <c r="U90" s="1"/>
  <c r="Q82"/>
  <c r="U88" s="1"/>
  <c r="P82"/>
  <c r="U86" s="1"/>
  <c r="T79"/>
  <c r="T77"/>
  <c r="N77"/>
  <c r="T75"/>
  <c r="T73"/>
  <c r="N73"/>
  <c r="S69"/>
  <c r="U79" s="1"/>
  <c r="R69"/>
  <c r="U77" s="1"/>
  <c r="Q69"/>
  <c r="U75" s="1"/>
  <c r="P69"/>
  <c r="U73" s="1"/>
  <c r="T66"/>
  <c r="T64"/>
  <c r="N64"/>
  <c r="T62"/>
  <c r="T60"/>
  <c r="N60"/>
  <c r="S56"/>
  <c r="U66" s="1"/>
  <c r="R56"/>
  <c r="Q56"/>
  <c r="P56"/>
  <c r="T53"/>
  <c r="T51"/>
  <c r="N51"/>
  <c r="T49"/>
  <c r="T47"/>
  <c r="N47"/>
  <c r="S43"/>
  <c r="U53" s="1"/>
  <c r="R43"/>
  <c r="U51" s="1"/>
  <c r="Q43"/>
  <c r="U49" s="1"/>
  <c r="P43"/>
  <c r="T40"/>
  <c r="T38"/>
  <c r="N38"/>
  <c r="T36"/>
  <c r="T34"/>
  <c r="N34"/>
  <c r="S30"/>
  <c r="U40" s="1"/>
  <c r="R30"/>
  <c r="Q30"/>
  <c r="U36" s="1"/>
  <c r="P30"/>
  <c r="T27"/>
  <c r="T25"/>
  <c r="N25"/>
  <c r="T23"/>
  <c r="T21"/>
  <c r="N21"/>
  <c r="S17"/>
  <c r="S250" s="1"/>
  <c r="R17"/>
  <c r="R250" s="1"/>
  <c r="Q17"/>
  <c r="Q250" s="1"/>
  <c r="P17"/>
  <c r="P250" s="1"/>
  <c r="N17" l="1"/>
  <c r="U23"/>
  <c r="J27" i="1"/>
  <c r="J26" s="1"/>
  <c r="U21" i="5"/>
  <c r="I27" i="1"/>
  <c r="U25" i="5"/>
  <c r="K27" i="1"/>
  <c r="K26" s="1"/>
  <c r="U27" i="5"/>
  <c r="L27" i="1"/>
  <c r="L26" s="1"/>
  <c r="U157" i="5"/>
  <c r="U47"/>
  <c r="U231"/>
  <c r="T225" s="1"/>
  <c r="N225" s="1"/>
  <c r="N30"/>
  <c r="U34"/>
  <c r="AJ60" i="7"/>
  <c r="AJ61" s="1"/>
  <c r="AI32"/>
  <c r="AJ33"/>
  <c r="AI34" s="1"/>
  <c r="AJ31" i="8"/>
  <c r="AN31"/>
  <c r="AP60" i="7"/>
  <c r="AP61" s="1"/>
  <c r="AO32"/>
  <c r="AP33"/>
  <c r="AO34" s="1"/>
  <c r="F30"/>
  <c r="BP30"/>
  <c r="BQ30" s="1"/>
  <c r="CH30"/>
  <c r="CI30" s="1"/>
  <c r="CK30"/>
  <c r="BD30"/>
  <c r="BE30" s="1"/>
  <c r="BJ30"/>
  <c r="BK30" s="1"/>
  <c r="CW30"/>
  <c r="CE30"/>
  <c r="CF30" s="1"/>
  <c r="CB30"/>
  <c r="CC30" s="1"/>
  <c r="AR30" i="8"/>
  <c r="CT30" s="1"/>
  <c r="AR31" i="7"/>
  <c r="AM32"/>
  <c r="AN33"/>
  <c r="AM34" s="1"/>
  <c r="AN60"/>
  <c r="AN61" s="1"/>
  <c r="AP31" i="8"/>
  <c r="BP30"/>
  <c r="BQ30" s="1"/>
  <c r="BA30" i="7"/>
  <c r="BB30" s="1"/>
  <c r="BV30"/>
  <c r="BW30" s="1"/>
  <c r="CE30" i="8"/>
  <c r="CF30" s="1"/>
  <c r="CH30"/>
  <c r="CI30" s="1"/>
  <c r="CN30" i="7"/>
  <c r="CQ30"/>
  <c r="BS30"/>
  <c r="BT30" s="1"/>
  <c r="BM30"/>
  <c r="BN30" s="1"/>
  <c r="BG30"/>
  <c r="BH30" s="1"/>
  <c r="CT30"/>
  <c r="CB30" i="8"/>
  <c r="CC30" s="1"/>
  <c r="BY30"/>
  <c r="BZ30" s="1"/>
  <c r="T30" i="5"/>
  <c r="T82"/>
  <c r="N82" s="1"/>
  <c r="T108"/>
  <c r="N108" s="1"/>
  <c r="T43"/>
  <c r="N43" s="1"/>
  <c r="U62"/>
  <c r="T69"/>
  <c r="N69" s="1"/>
  <c r="T95"/>
  <c r="N95" s="1"/>
  <c r="T121"/>
  <c r="N121" s="1"/>
  <c r="T147"/>
  <c r="N147" s="1"/>
  <c r="U60"/>
  <c r="U64"/>
  <c r="T17"/>
  <c r="BJ30" i="8" l="1"/>
  <c r="BK30" s="1"/>
  <c r="BG30"/>
  <c r="BH30" s="1"/>
  <c r="BD30"/>
  <c r="BA30"/>
  <c r="F30"/>
  <c r="BV30"/>
  <c r="BW30" s="1"/>
  <c r="CR30" i="7"/>
  <c r="CR31" s="1"/>
  <c r="CQ31"/>
  <c r="AO32" i="8"/>
  <c r="AP33"/>
  <c r="AO34" s="1"/>
  <c r="AP63"/>
  <c r="CW30"/>
  <c r="AR31"/>
  <c r="AM32"/>
  <c r="AN63"/>
  <c r="AN33"/>
  <c r="AM34" s="1"/>
  <c r="BM30"/>
  <c r="BN30" s="1"/>
  <c r="CK30"/>
  <c r="CL30" s="1"/>
  <c r="CN30"/>
  <c r="BS30"/>
  <c r="BT30" s="1"/>
  <c r="CU30" i="7"/>
  <c r="CU31" s="1"/>
  <c r="CT31"/>
  <c r="CO30"/>
  <c r="CO31" s="1"/>
  <c r="CN31"/>
  <c r="CU30" i="8"/>
  <c r="AR60" i="7"/>
  <c r="AR61" s="1"/>
  <c r="AR33"/>
  <c r="AQ34" s="1"/>
  <c r="AQ32"/>
  <c r="CX30"/>
  <c r="CX31" s="1"/>
  <c r="CW31"/>
  <c r="CL30"/>
  <c r="CL31" s="1"/>
  <c r="CK31"/>
  <c r="AJ63" i="8"/>
  <c r="T39" i="3" s="1"/>
  <c r="V20" i="1" s="1"/>
  <c r="AJ33" i="8"/>
  <c r="AI34" s="1"/>
  <c r="AI32"/>
  <c r="CQ30"/>
  <c r="T56" i="5"/>
  <c r="N56" s="1"/>
  <c r="L56" s="1"/>
  <c r="AN64" i="8" l="1"/>
  <c r="V39" i="3"/>
  <c r="X20" i="1" s="1"/>
  <c r="AP64" i="8"/>
  <c r="W39" i="3"/>
  <c r="AJ64" i="8"/>
  <c r="CL33" i="7"/>
  <c r="CR30" i="8"/>
  <c r="CK33" i="7"/>
  <c r="CW33"/>
  <c r="CO33"/>
  <c r="CU33"/>
  <c r="CO30" i="8"/>
  <c r="AQ32"/>
  <c r="AR63"/>
  <c r="AR33"/>
  <c r="AQ34" s="1"/>
  <c r="CR33" i="7"/>
  <c r="CX33"/>
  <c r="CN33"/>
  <c r="CT33"/>
  <c r="CX30" i="8"/>
  <c r="CQ33" i="7"/>
  <c r="B46"/>
  <c r="B46" i="8" s="1"/>
  <c r="S24" i="3"/>
  <c r="AR64" i="8" l="1"/>
  <c r="X39" i="3"/>
  <c r="Y20" i="1"/>
  <c r="W46" i="3"/>
  <c r="V46"/>
  <c r="S50"/>
  <c r="S42"/>
  <c r="U36" i="2"/>
  <c r="U26"/>
  <c r="F18" i="1"/>
  <c r="L74" i="26"/>
  <c r="L87" s="1"/>
  <c r="N39"/>
  <c r="N25"/>
  <c r="N21" s="1"/>
  <c r="Q87"/>
  <c r="R87"/>
  <c r="S87"/>
  <c r="T87"/>
  <c r="U87"/>
  <c r="V87"/>
  <c r="W87"/>
  <c r="X87"/>
  <c r="Y87"/>
  <c r="Z87"/>
  <c r="P87"/>
  <c r="AA87"/>
  <c r="N35"/>
  <c r="Z35"/>
  <c r="Y35"/>
  <c r="X35"/>
  <c r="W35"/>
  <c r="V35"/>
  <c r="U35"/>
  <c r="T35"/>
  <c r="S35"/>
  <c r="R35"/>
  <c r="Q35"/>
  <c r="P35"/>
  <c r="Z21"/>
  <c r="Y21"/>
  <c r="X21"/>
  <c r="W21"/>
  <c r="V21"/>
  <c r="U21"/>
  <c r="T21"/>
  <c r="S21"/>
  <c r="R21"/>
  <c r="Q21"/>
  <c r="P21"/>
  <c r="S19" i="1" l="1"/>
  <c r="Q42" i="3"/>
  <c r="Z20" i="1"/>
  <c r="X46" i="3"/>
  <c r="P19" i="1"/>
  <c r="N42" i="3"/>
  <c r="J42"/>
  <c r="L19" i="1"/>
  <c r="Q19"/>
  <c r="O42" i="3"/>
  <c r="O19" i="1"/>
  <c r="M42" i="3"/>
  <c r="M19" i="1"/>
  <c r="K42" i="3"/>
  <c r="I42"/>
  <c r="K19" i="1"/>
  <c r="G42" i="3"/>
  <c r="I19" i="1"/>
  <c r="R19"/>
  <c r="P42" i="3"/>
  <c r="N19" i="1"/>
  <c r="L42" i="3"/>
  <c r="H42"/>
  <c r="J19" i="1"/>
  <c r="N82" i="25"/>
  <c r="AA22"/>
  <c r="P18"/>
  <c r="Q18"/>
  <c r="AA26" s="1"/>
  <c r="R18"/>
  <c r="N22"/>
  <c r="N18" s="1"/>
  <c r="L18" s="1"/>
  <c r="AA24"/>
  <c r="AA28"/>
  <c r="P31"/>
  <c r="AA37" s="1"/>
  <c r="Q31"/>
  <c r="AA39" s="1"/>
  <c r="R31"/>
  <c r="AA41" s="1"/>
  <c r="N35"/>
  <c r="AA35"/>
  <c r="N39"/>
  <c r="P44"/>
  <c r="AA50" s="1"/>
  <c r="Q44"/>
  <c r="AA52" s="1"/>
  <c r="R44"/>
  <c r="AA54" s="1"/>
  <c r="N48"/>
  <c r="N52"/>
  <c r="N56"/>
  <c r="P61"/>
  <c r="AA67" s="1"/>
  <c r="Q61"/>
  <c r="R61"/>
  <c r="N65"/>
  <c r="N69"/>
  <c r="P74"/>
  <c r="Q74"/>
  <c r="R74"/>
  <c r="N78"/>
  <c r="N74" s="1"/>
  <c r="AA80"/>
  <c r="P87"/>
  <c r="Q87"/>
  <c r="AA95" s="1"/>
  <c r="R87"/>
  <c r="N91"/>
  <c r="N95"/>
  <c r="P100"/>
  <c r="Q100"/>
  <c r="Q296" s="1"/>
  <c r="R100"/>
  <c r="R296" s="1"/>
  <c r="N108"/>
  <c r="R36" i="2"/>
  <c r="Q36"/>
  <c r="U19" i="1"/>
  <c r="U18" s="1"/>
  <c r="T19"/>
  <c r="T18" s="1"/>
  <c r="CD29" i="7"/>
  <c r="CA29"/>
  <c r="BX29"/>
  <c r="BU29"/>
  <c r="BR29"/>
  <c r="BO29"/>
  <c r="BL29"/>
  <c r="BI29"/>
  <c r="BF29"/>
  <c r="CD28"/>
  <c r="CA28"/>
  <c r="BX28"/>
  <c r="BU28"/>
  <c r="BR28"/>
  <c r="BO28"/>
  <c r="BL28"/>
  <c r="BI28"/>
  <c r="BF28"/>
  <c r="BC28"/>
  <c r="CD27"/>
  <c r="P170" i="19"/>
  <c r="P158"/>
  <c r="U61" i="1"/>
  <c r="AH56" i="7"/>
  <c r="AH55"/>
  <c r="AH54"/>
  <c r="AH53"/>
  <c r="AH52"/>
  <c r="AH51"/>
  <c r="AH50"/>
  <c r="AH49"/>
  <c r="AH48"/>
  <c r="AH47"/>
  <c r="AH46"/>
  <c r="AF53"/>
  <c r="H24" i="2"/>
  <c r="G24"/>
  <c r="G23"/>
  <c r="F24"/>
  <c r="F23"/>
  <c r="F22"/>
  <c r="P146" i="23"/>
  <c r="P134"/>
  <c r="P122"/>
  <c r="P110"/>
  <c r="P98"/>
  <c r="P86"/>
  <c r="P74"/>
  <c r="P62"/>
  <c r="P50"/>
  <c r="P38"/>
  <c r="P26"/>
  <c r="P14"/>
  <c r="G31" i="7"/>
  <c r="H31"/>
  <c r="CG29" i="8"/>
  <c r="R24" i="2" s="1"/>
  <c r="Q24" i="3"/>
  <c r="P24"/>
  <c r="O24"/>
  <c r="N24"/>
  <c r="M24"/>
  <c r="L24"/>
  <c r="K24"/>
  <c r="J24"/>
  <c r="N29" i="8"/>
  <c r="M29"/>
  <c r="I24" i="3" s="1"/>
  <c r="L29" i="8"/>
  <c r="H24" i="3"/>
  <c r="J29" i="8"/>
  <c r="I29"/>
  <c r="G24" i="3" s="1"/>
  <c r="H29" i="8"/>
  <c r="G29"/>
  <c r="F24" i="3" s="1"/>
  <c r="D29" i="8"/>
  <c r="C29"/>
  <c r="A29"/>
  <c r="C24" i="3" s="1"/>
  <c r="Q23"/>
  <c r="P23"/>
  <c r="O23"/>
  <c r="N23"/>
  <c r="M23"/>
  <c r="L23"/>
  <c r="K23"/>
  <c r="J23"/>
  <c r="I23"/>
  <c r="L28" i="8"/>
  <c r="H23" i="3"/>
  <c r="J28" i="8"/>
  <c r="I28"/>
  <c r="G23" i="3" s="1"/>
  <c r="H28" i="8"/>
  <c r="G28"/>
  <c r="F23" i="3" s="1"/>
  <c r="D28" i="8"/>
  <c r="C28"/>
  <c r="A28"/>
  <c r="C23" i="3" s="1"/>
  <c r="CG27" i="8"/>
  <c r="R22" i="3"/>
  <c r="Q22"/>
  <c r="P22"/>
  <c r="O22"/>
  <c r="N22"/>
  <c r="M22"/>
  <c r="L22"/>
  <c r="K22"/>
  <c r="J22"/>
  <c r="I22"/>
  <c r="H22"/>
  <c r="J27" i="8"/>
  <c r="I27"/>
  <c r="G22" i="3" s="1"/>
  <c r="D22" s="1"/>
  <c r="H27" i="8"/>
  <c r="G27"/>
  <c r="F22" i="3" s="1"/>
  <c r="D27" i="8"/>
  <c r="C27"/>
  <c r="A27"/>
  <c r="C22" i="2" s="1"/>
  <c r="B28" i="8"/>
  <c r="B27"/>
  <c r="P134" i="22"/>
  <c r="P122"/>
  <c r="P110"/>
  <c r="P98"/>
  <c r="P86"/>
  <c r="P74"/>
  <c r="P62"/>
  <c r="P50"/>
  <c r="P38"/>
  <c r="P26"/>
  <c r="P14"/>
  <c r="D147" i="23"/>
  <c r="D148" s="1"/>
  <c r="D159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7" i="22"/>
  <c r="D148" s="1"/>
  <c r="D159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U29"/>
  <c r="AU28"/>
  <c r="AA2" i="21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Q132"/>
  <c r="Q136"/>
  <c r="AH42" i="7"/>
  <c r="AG42"/>
  <c r="AG58" s="1"/>
  <c r="AF42"/>
  <c r="AE42"/>
  <c r="AE58" s="1"/>
  <c r="AD42"/>
  <c r="AC42"/>
  <c r="AC58" s="1"/>
  <c r="AB42"/>
  <c r="AA42"/>
  <c r="AA58" s="1"/>
  <c r="Z42"/>
  <c r="Y42"/>
  <c r="Y58" s="1"/>
  <c r="X42"/>
  <c r="W42"/>
  <c r="W58" s="1"/>
  <c r="V42"/>
  <c r="U42"/>
  <c r="U58" s="1"/>
  <c r="T42"/>
  <c r="S42"/>
  <c r="S58" s="1"/>
  <c r="R42"/>
  <c r="Q42"/>
  <c r="Q58" s="1"/>
  <c r="P42"/>
  <c r="O42"/>
  <c r="O58" s="1"/>
  <c r="N42"/>
  <c r="L42"/>
  <c r="J42"/>
  <c r="J58" s="1"/>
  <c r="I42"/>
  <c r="I58" s="1"/>
  <c r="H42"/>
  <c r="H58" s="1"/>
  <c r="G42"/>
  <c r="G58" s="1"/>
  <c r="I32" i="20"/>
  <c r="F12"/>
  <c r="F17" s="1"/>
  <c r="E12"/>
  <c r="E17" s="1"/>
  <c r="G4"/>
  <c r="I4" s="1"/>
  <c r="K4" s="1"/>
  <c r="M4" s="1"/>
  <c r="O4" s="1"/>
  <c r="Q4" s="1"/>
  <c r="S4" s="1"/>
  <c r="U4" s="1"/>
  <c r="W4" s="1"/>
  <c r="Y4" s="1"/>
  <c r="AA4" s="1"/>
  <c r="AC4" s="1"/>
  <c r="AA106" i="25" l="1"/>
  <c r="P296"/>
  <c r="AA71"/>
  <c r="K17" i="1"/>
  <c r="AA69" i="25"/>
  <c r="AA93"/>
  <c r="CW53" i="7"/>
  <c r="CX53" s="1"/>
  <c r="CT53"/>
  <c r="CU53" s="1"/>
  <c r="CQ53"/>
  <c r="CR53" s="1"/>
  <c r="CN53"/>
  <c r="CO53" s="1"/>
  <c r="CK53"/>
  <c r="CL53" s="1"/>
  <c r="CL27" i="8"/>
  <c r="CH53" i="7"/>
  <c r="CI53" s="1"/>
  <c r="Z87" i="25"/>
  <c r="CG28" i="8"/>
  <c r="R23" i="2" s="1"/>
  <c r="S23" i="3"/>
  <c r="CD28" i="8"/>
  <c r="Q23" i="2" s="1"/>
  <c r="P172" i="22"/>
  <c r="E28" i="8"/>
  <c r="E27"/>
  <c r="N100" i="25"/>
  <c r="L100" s="1"/>
  <c r="N31"/>
  <c r="L31" s="1"/>
  <c r="Z61"/>
  <c r="Z44"/>
  <c r="Z100"/>
  <c r="N87"/>
  <c r="Z74"/>
  <c r="N61"/>
  <c r="N44"/>
  <c r="Z31"/>
  <c r="Z18"/>
  <c r="R22" i="2"/>
  <c r="CD29" i="8"/>
  <c r="Q24" i="2" s="1"/>
  <c r="C22" i="3"/>
  <c r="CD27" i="8"/>
  <c r="C23" i="2"/>
  <c r="R23" i="3"/>
  <c r="D23" s="1"/>
  <c r="C24" i="2"/>
  <c r="R24" i="3"/>
  <c r="D24" s="1"/>
  <c r="BC28" i="8"/>
  <c r="BF28"/>
  <c r="BI28"/>
  <c r="BL28"/>
  <c r="BO28"/>
  <c r="BR28"/>
  <c r="BU28"/>
  <c r="BX28"/>
  <c r="CA28"/>
  <c r="AZ27"/>
  <c r="BC27"/>
  <c r="BF27"/>
  <c r="BI27"/>
  <c r="BL27"/>
  <c r="BO27"/>
  <c r="BR27"/>
  <c r="BU27"/>
  <c r="BX27"/>
  <c r="CA27"/>
  <c r="CA29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/>
  <c r="B29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P134" i="15"/>
  <c r="P134" i="14"/>
  <c r="P146"/>
  <c r="P146" i="13"/>
  <c r="P134"/>
  <c r="P134" i="12"/>
  <c r="P134" i="11"/>
  <c r="P134" i="10"/>
  <c r="P146" i="9"/>
  <c r="P134"/>
  <c r="L296" i="25" l="1"/>
  <c r="J17" i="1"/>
  <c r="I17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51" i="9"/>
  <c r="D149"/>
  <c r="D147"/>
  <c r="D146"/>
  <c r="D145"/>
  <c r="D144"/>
  <c r="D143"/>
  <c r="D142"/>
  <c r="D141"/>
  <c r="D140"/>
  <c r="D139"/>
  <c r="D138"/>
  <c r="D137"/>
  <c r="P122"/>
  <c r="D148"/>
  <c r="D160" s="1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153" l="1"/>
  <c r="D155"/>
  <c r="D157"/>
  <c r="D159"/>
  <c r="D150"/>
  <c r="D152"/>
  <c r="D154"/>
  <c r="D156"/>
  <c r="D158"/>
  <c r="D51" i="23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9"/>
  <c r="D26"/>
  <c r="D25"/>
  <c r="D24"/>
  <c r="D23"/>
  <c r="D22"/>
  <c r="D21"/>
  <c r="D20"/>
  <c r="D19"/>
  <c r="D18"/>
  <c r="D17"/>
  <c r="D28"/>
  <c r="Y27" i="23" l="1"/>
  <c r="Y51"/>
  <c r="Y15"/>
  <c r="D63"/>
  <c r="D64"/>
  <c r="D62"/>
  <c r="D61"/>
  <c r="D60"/>
  <c r="D59"/>
  <c r="D58"/>
  <c r="D57"/>
  <c r="D56"/>
  <c r="D55"/>
  <c r="D54"/>
  <c r="D53"/>
  <c r="Y39"/>
  <c r="Y63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T29" i="7" l="1"/>
  <c r="T29" i="8" s="1"/>
  <c r="P29" i="7"/>
  <c r="P29" i="8" s="1"/>
  <c r="R29" i="7"/>
  <c r="R29" i="8" s="1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D87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50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9" i="7" l="1"/>
  <c r="V29" i="8" s="1"/>
  <c r="Y87" i="23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T94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AB29" i="7" l="1"/>
  <c r="AB29" i="8" s="1"/>
  <c r="X29" i="7"/>
  <c r="X29" i="8" s="1"/>
  <c r="Y99" i="23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50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Z29" i="7" l="1"/>
  <c r="Z29" i="8" s="1"/>
  <c r="AD29" i="7"/>
  <c r="AD29" i="8" s="1"/>
  <c r="D123" i="23"/>
  <c r="D124" s="1"/>
  <c r="D122"/>
  <c r="D121"/>
  <c r="D120"/>
  <c r="D119"/>
  <c r="D118"/>
  <c r="D117"/>
  <c r="D116"/>
  <c r="D115"/>
  <c r="D114"/>
  <c r="D113"/>
  <c r="T124"/>
  <c r="Y135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50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50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100" s="1"/>
  <c r="D98"/>
  <c r="D97"/>
  <c r="D96"/>
  <c r="D95"/>
  <c r="D94"/>
  <c r="D93"/>
  <c r="D92"/>
  <c r="D91"/>
  <c r="D90"/>
  <c r="D89"/>
  <c r="D110" l="1"/>
  <c r="D108"/>
  <c r="D106"/>
  <c r="D104"/>
  <c r="D102"/>
  <c r="D111"/>
  <c r="D112" s="1"/>
  <c r="D109"/>
  <c r="D107"/>
  <c r="D105"/>
  <c r="D103"/>
  <c r="D101"/>
  <c r="AF28" i="8"/>
  <c r="AF29" i="7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CH28" s="1"/>
  <c r="D135" i="21"/>
  <c r="D134"/>
  <c r="D133"/>
  <c r="D132"/>
  <c r="D131"/>
  <c r="D130"/>
  <c r="D129"/>
  <c r="D128"/>
  <c r="D127"/>
  <c r="D126"/>
  <c r="D125"/>
  <c r="Y99" i="13"/>
  <c r="Z50" i="7" s="1"/>
  <c r="D111" i="13"/>
  <c r="D112" s="1"/>
  <c r="D110"/>
  <c r="D109"/>
  <c r="D108"/>
  <c r="D107"/>
  <c r="D106"/>
  <c r="D105"/>
  <c r="D104"/>
  <c r="D103"/>
  <c r="D102"/>
  <c r="D101"/>
  <c r="T112"/>
  <c r="Y123" s="1"/>
  <c r="AD50" i="7" s="1"/>
  <c r="AD50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7" i="8"/>
  <c r="AG57"/>
  <c r="AF57"/>
  <c r="CE57" s="1"/>
  <c r="AE57"/>
  <c r="CD57" s="1"/>
  <c r="AD57"/>
  <c r="CB57" s="1"/>
  <c r="AC57"/>
  <c r="CA57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7" s="1"/>
  <c r="G57"/>
  <c r="E57" s="1"/>
  <c r="D57"/>
  <c r="C57"/>
  <c r="B57"/>
  <c r="A57"/>
  <c r="AH56"/>
  <c r="AG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D56"/>
  <c r="C56"/>
  <c r="A56"/>
  <c r="AH55"/>
  <c r="AG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AG54"/>
  <c r="AE54"/>
  <c r="AC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U54" s="1"/>
  <c r="AH53"/>
  <c r="AG53"/>
  <c r="AF53"/>
  <c r="CE53" s="1"/>
  <c r="AE53"/>
  <c r="CD53" s="1"/>
  <c r="AC53"/>
  <c r="AA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U53" s="1"/>
  <c r="AH52"/>
  <c r="AG52"/>
  <c r="AE52"/>
  <c r="AC52"/>
  <c r="AA52"/>
  <c r="Y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U52" s="1"/>
  <c r="AH51"/>
  <c r="AG51"/>
  <c r="AE51"/>
  <c r="AC51"/>
  <c r="AA51"/>
  <c r="Y51"/>
  <c r="W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U51" s="1"/>
  <c r="AH50"/>
  <c r="AG50"/>
  <c r="AE50"/>
  <c r="AC50"/>
  <c r="AA50"/>
  <c r="Y50"/>
  <c r="W50"/>
  <c r="U50"/>
  <c r="S50"/>
  <c r="R50"/>
  <c r="Q50"/>
  <c r="P50"/>
  <c r="O50"/>
  <c r="N50"/>
  <c r="M50"/>
  <c r="L50"/>
  <c r="K50"/>
  <c r="J50"/>
  <c r="I50"/>
  <c r="H50"/>
  <c r="G50"/>
  <c r="D50"/>
  <c r="C50"/>
  <c r="A50"/>
  <c r="AU50" s="1"/>
  <c r="AH49"/>
  <c r="AG49"/>
  <c r="AE49"/>
  <c r="AC49"/>
  <c r="AA49"/>
  <c r="Y49"/>
  <c r="W49"/>
  <c r="U49"/>
  <c r="S49"/>
  <c r="Q49"/>
  <c r="P49"/>
  <c r="O49"/>
  <c r="N49"/>
  <c r="M49"/>
  <c r="L49"/>
  <c r="K49"/>
  <c r="J49"/>
  <c r="I49"/>
  <c r="H49"/>
  <c r="G49"/>
  <c r="D49"/>
  <c r="C49"/>
  <c r="A49"/>
  <c r="AU49" s="1"/>
  <c r="AH48"/>
  <c r="AG48"/>
  <c r="AE48"/>
  <c r="AC48"/>
  <c r="AA48"/>
  <c r="Y48"/>
  <c r="W48"/>
  <c r="U48"/>
  <c r="S48"/>
  <c r="Q48"/>
  <c r="O48"/>
  <c r="N48"/>
  <c r="M48"/>
  <c r="L48"/>
  <c r="K48"/>
  <c r="J48"/>
  <c r="I48"/>
  <c r="H48"/>
  <c r="G48"/>
  <c r="D48"/>
  <c r="C48"/>
  <c r="A48"/>
  <c r="AU48" s="1"/>
  <c r="AG47"/>
  <c r="AE47"/>
  <c r="AC47"/>
  <c r="AA47"/>
  <c r="Y47"/>
  <c r="O36" i="3" s="1"/>
  <c r="W47" i="8"/>
  <c r="U47"/>
  <c r="S47"/>
  <c r="Q47"/>
  <c r="O47"/>
  <c r="M47"/>
  <c r="L47"/>
  <c r="K47"/>
  <c r="J47"/>
  <c r="I47"/>
  <c r="H47"/>
  <c r="G47"/>
  <c r="D47"/>
  <c r="C47"/>
  <c r="A47"/>
  <c r="AU47" s="1"/>
  <c r="AG46"/>
  <c r="AE46"/>
  <c r="AC46"/>
  <c r="AA46"/>
  <c r="P35" i="3" s="1"/>
  <c r="Y46" i="8"/>
  <c r="O35" i="3" s="1"/>
  <c r="W46" i="8"/>
  <c r="N35" i="3" s="1"/>
  <c r="U46" i="8"/>
  <c r="S46"/>
  <c r="Q46"/>
  <c r="O46"/>
  <c r="M46"/>
  <c r="K46"/>
  <c r="J46"/>
  <c r="I46"/>
  <c r="H46"/>
  <c r="G46"/>
  <c r="D46"/>
  <c r="C46"/>
  <c r="A46"/>
  <c r="AU46" s="1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F45" s="1"/>
  <c r="G45"/>
  <c r="E45" s="1"/>
  <c r="D45"/>
  <c r="C45"/>
  <c r="AH44"/>
  <c r="AG44"/>
  <c r="AF44"/>
  <c r="S34" i="3" s="1"/>
  <c r="AE44" i="8"/>
  <c r="R34" i="3" s="1"/>
  <c r="AD44" i="8"/>
  <c r="AC44"/>
  <c r="AA22" i="20" s="1"/>
  <c r="AA18" s="1"/>
  <c r="AA23" s="1"/>
  <c r="AB44" i="8"/>
  <c r="AA44"/>
  <c r="Y22" i="20" s="1"/>
  <c r="Y18" s="1"/>
  <c r="Y23" s="1"/>
  <c r="Z44" i="8"/>
  <c r="Y44"/>
  <c r="W22" i="20" s="1"/>
  <c r="W18" s="1"/>
  <c r="W23" s="1"/>
  <c r="X44" i="8"/>
  <c r="W44"/>
  <c r="U22" i="20" s="1"/>
  <c r="U18" s="1"/>
  <c r="U23" s="1"/>
  <c r="V44" i="8"/>
  <c r="U44"/>
  <c r="S22" i="20" s="1"/>
  <c r="S18" s="1"/>
  <c r="S23" s="1"/>
  <c r="T44" i="8"/>
  <c r="S44"/>
  <c r="Q22" i="20" s="1"/>
  <c r="Q18" s="1"/>
  <c r="Q23" s="1"/>
  <c r="R44" i="8"/>
  <c r="Q44"/>
  <c r="O22" i="20" s="1"/>
  <c r="O18" s="1"/>
  <c r="O23" s="1"/>
  <c r="P44" i="8"/>
  <c r="O44"/>
  <c r="M22" i="20" s="1"/>
  <c r="M18" s="1"/>
  <c r="M23" s="1"/>
  <c r="N44" i="8"/>
  <c r="M44"/>
  <c r="K22" i="20" s="1"/>
  <c r="K18" s="1"/>
  <c r="K23" s="1"/>
  <c r="L44" i="8"/>
  <c r="K44"/>
  <c r="I22" i="20" s="1"/>
  <c r="I18" s="1"/>
  <c r="I23" s="1"/>
  <c r="J44" i="8"/>
  <c r="I44"/>
  <c r="G22" i="20" s="1"/>
  <c r="G18" s="1"/>
  <c r="G23" s="1"/>
  <c r="H44" i="8"/>
  <c r="G44"/>
  <c r="E22" i="20" s="1"/>
  <c r="E18" s="1"/>
  <c r="E23" s="1"/>
  <c r="D44" i="8"/>
  <c r="C44"/>
  <c r="A44"/>
  <c r="AU44" s="1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F43" s="1"/>
  <c r="G43"/>
  <c r="E43" s="1"/>
  <c r="D43"/>
  <c r="C43"/>
  <c r="B43"/>
  <c r="AH40"/>
  <c r="AG40"/>
  <c r="AF40"/>
  <c r="AE40"/>
  <c r="AD40"/>
  <c r="CB40" s="1"/>
  <c r="AC40"/>
  <c r="AB40"/>
  <c r="BY40" s="1"/>
  <c r="AA40"/>
  <c r="Z40"/>
  <c r="BV40" s="1"/>
  <c r="Y40"/>
  <c r="X40"/>
  <c r="BS40" s="1"/>
  <c r="W40"/>
  <c r="V40"/>
  <c r="BP40" s="1"/>
  <c r="U40"/>
  <c r="T40"/>
  <c r="BM40" s="1"/>
  <c r="S40"/>
  <c r="R40"/>
  <c r="BJ40" s="1"/>
  <c r="Q40"/>
  <c r="P40"/>
  <c r="BG40" s="1"/>
  <c r="O40"/>
  <c r="N40"/>
  <c r="BD40" s="1"/>
  <c r="M40"/>
  <c r="L40"/>
  <c r="BA40" s="1"/>
  <c r="K40"/>
  <c r="J40"/>
  <c r="AX40" s="1"/>
  <c r="I40"/>
  <c r="H40"/>
  <c r="F40" s="1"/>
  <c r="G40"/>
  <c r="D40"/>
  <c r="C40"/>
  <c r="B40"/>
  <c r="AV40" s="1"/>
  <c r="A40"/>
  <c r="AU40" s="1"/>
  <c r="AH39"/>
  <c r="AG39"/>
  <c r="AF39"/>
  <c r="AE39"/>
  <c r="AD39"/>
  <c r="CB39" s="1"/>
  <c r="AC39"/>
  <c r="AB39"/>
  <c r="BY39" s="1"/>
  <c r="AA39"/>
  <c r="Z39"/>
  <c r="BV39" s="1"/>
  <c r="Y39"/>
  <c r="X39"/>
  <c r="BS39" s="1"/>
  <c r="W39"/>
  <c r="V39"/>
  <c r="BP39" s="1"/>
  <c r="U39"/>
  <c r="T39"/>
  <c r="BM39" s="1"/>
  <c r="S39"/>
  <c r="R39"/>
  <c r="BJ39" s="1"/>
  <c r="Q39"/>
  <c r="P39"/>
  <c r="BG39" s="1"/>
  <c r="O39"/>
  <c r="N39"/>
  <c r="BD39" s="1"/>
  <c r="M39"/>
  <c r="L39"/>
  <c r="BA39" s="1"/>
  <c r="K39"/>
  <c r="J39"/>
  <c r="AX39" s="1"/>
  <c r="I39"/>
  <c r="H39"/>
  <c r="F39" s="1"/>
  <c r="G39"/>
  <c r="D39"/>
  <c r="C39"/>
  <c r="B39"/>
  <c r="AV39" s="1"/>
  <c r="A39"/>
  <c r="AU39" s="1"/>
  <c r="AH38"/>
  <c r="AG38"/>
  <c r="AF38"/>
  <c r="AE38"/>
  <c r="AD38"/>
  <c r="CB38" s="1"/>
  <c r="AC38"/>
  <c r="AB38"/>
  <c r="BY38" s="1"/>
  <c r="AA38"/>
  <c r="Z38"/>
  <c r="BV38" s="1"/>
  <c r="Y38"/>
  <c r="X38"/>
  <c r="BS38" s="1"/>
  <c r="W38"/>
  <c r="V38"/>
  <c r="BP38" s="1"/>
  <c r="U38"/>
  <c r="T38"/>
  <c r="BM38" s="1"/>
  <c r="S38"/>
  <c r="R38"/>
  <c r="BJ38" s="1"/>
  <c r="Q38"/>
  <c r="P38"/>
  <c r="BG38" s="1"/>
  <c r="O38"/>
  <c r="N38"/>
  <c r="BD38" s="1"/>
  <c r="L38"/>
  <c r="J38"/>
  <c r="I38"/>
  <c r="G30" i="3" s="1"/>
  <c r="H38" i="8"/>
  <c r="G38"/>
  <c r="F30" i="3" s="1"/>
  <c r="D38" i="8"/>
  <c r="C38"/>
  <c r="B38"/>
  <c r="AV38" s="1"/>
  <c r="A38"/>
  <c r="AU38" s="1"/>
  <c r="AH37"/>
  <c r="AG37"/>
  <c r="AF37"/>
  <c r="AE37"/>
  <c r="AD37"/>
  <c r="CB37" s="1"/>
  <c r="AC37"/>
  <c r="AB37"/>
  <c r="BY37" s="1"/>
  <c r="AA37"/>
  <c r="Z37"/>
  <c r="BV37" s="1"/>
  <c r="Y37"/>
  <c r="X37"/>
  <c r="BS37" s="1"/>
  <c r="W37"/>
  <c r="V37"/>
  <c r="BP37" s="1"/>
  <c r="U37"/>
  <c r="T37"/>
  <c r="BM37" s="1"/>
  <c r="S37"/>
  <c r="R37"/>
  <c r="BJ37" s="1"/>
  <c r="Q37"/>
  <c r="P37"/>
  <c r="BG37" s="1"/>
  <c r="O37"/>
  <c r="N37"/>
  <c r="BD37" s="1"/>
  <c r="M37"/>
  <c r="L37"/>
  <c r="BA37" s="1"/>
  <c r="K37"/>
  <c r="J37"/>
  <c r="AX37" s="1"/>
  <c r="I37"/>
  <c r="H37"/>
  <c r="F37" s="1"/>
  <c r="G37"/>
  <c r="D37"/>
  <c r="C37"/>
  <c r="B37"/>
  <c r="AV37" s="1"/>
  <c r="A37"/>
  <c r="AU37" s="1"/>
  <c r="AH36"/>
  <c r="AG36"/>
  <c r="AF36"/>
  <c r="AE36"/>
  <c r="AD36"/>
  <c r="AD42" s="1"/>
  <c r="AC36"/>
  <c r="AC42" s="1"/>
  <c r="AB36"/>
  <c r="AB42" s="1"/>
  <c r="AA36"/>
  <c r="AA42" s="1"/>
  <c r="Z36"/>
  <c r="Z42" s="1"/>
  <c r="Y36"/>
  <c r="Y42" s="1"/>
  <c r="X36"/>
  <c r="X42" s="1"/>
  <c r="W36"/>
  <c r="W42" s="1"/>
  <c r="V36"/>
  <c r="V42" s="1"/>
  <c r="U36"/>
  <c r="U42" s="1"/>
  <c r="T36"/>
  <c r="T42" s="1"/>
  <c r="S36"/>
  <c r="S42" s="1"/>
  <c r="R36"/>
  <c r="R42" s="1"/>
  <c r="Q36"/>
  <c r="Q42" s="1"/>
  <c r="P36"/>
  <c r="O36"/>
  <c r="O42" s="1"/>
  <c r="N36"/>
  <c r="M36"/>
  <c r="L36"/>
  <c r="K36"/>
  <c r="J36"/>
  <c r="I36"/>
  <c r="I42" s="1"/>
  <c r="H36"/>
  <c r="H42" s="1"/>
  <c r="G36"/>
  <c r="D36"/>
  <c r="C36"/>
  <c r="B36"/>
  <c r="B61" s="1"/>
  <c r="A36"/>
  <c r="AU36" s="1"/>
  <c r="AV29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V26"/>
  <c r="A26"/>
  <c r="AU26" s="1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V25"/>
  <c r="A25"/>
  <c r="AU25" s="1"/>
  <c r="AH24"/>
  <c r="AG24"/>
  <c r="AF24"/>
  <c r="AE24"/>
  <c r="AD24"/>
  <c r="CB24" s="1"/>
  <c r="AC24"/>
  <c r="AB24"/>
  <c r="BY24" s="1"/>
  <c r="AA24"/>
  <c r="Z24"/>
  <c r="BV24" s="1"/>
  <c r="Y24"/>
  <c r="X24"/>
  <c r="BS24" s="1"/>
  <c r="W24"/>
  <c r="V24"/>
  <c r="BP24" s="1"/>
  <c r="U24"/>
  <c r="T24"/>
  <c r="BM24" s="1"/>
  <c r="S24"/>
  <c r="R24"/>
  <c r="BJ24" s="1"/>
  <c r="Q24"/>
  <c r="P24"/>
  <c r="BG24" s="1"/>
  <c r="O24"/>
  <c r="N24"/>
  <c r="BD24" s="1"/>
  <c r="M24"/>
  <c r="L24"/>
  <c r="BA24" s="1"/>
  <c r="K24"/>
  <c r="J24"/>
  <c r="AX24" s="1"/>
  <c r="I24"/>
  <c r="H24"/>
  <c r="F24" s="1"/>
  <c r="G24"/>
  <c r="D24"/>
  <c r="C24"/>
  <c r="B24"/>
  <c r="AV24" s="1"/>
  <c r="A24"/>
  <c r="AU24" s="1"/>
  <c r="AH23"/>
  <c r="AG23"/>
  <c r="AF23"/>
  <c r="AE23"/>
  <c r="AD23"/>
  <c r="CB23" s="1"/>
  <c r="AC23"/>
  <c r="AB23"/>
  <c r="BY23" s="1"/>
  <c r="AA23"/>
  <c r="Z23"/>
  <c r="BV23" s="1"/>
  <c r="Y23"/>
  <c r="X23"/>
  <c r="BS23" s="1"/>
  <c r="W23"/>
  <c r="V23"/>
  <c r="BP23" s="1"/>
  <c r="U23"/>
  <c r="T23"/>
  <c r="BM23" s="1"/>
  <c r="S23"/>
  <c r="R23"/>
  <c r="BJ23" s="1"/>
  <c r="Q23"/>
  <c r="P23"/>
  <c r="BG23" s="1"/>
  <c r="O23"/>
  <c r="N23"/>
  <c r="BD23" s="1"/>
  <c r="M23"/>
  <c r="L23"/>
  <c r="BA23" s="1"/>
  <c r="K23"/>
  <c r="J23"/>
  <c r="AX23" s="1"/>
  <c r="I23"/>
  <c r="H23"/>
  <c r="F23" s="1"/>
  <c r="G23"/>
  <c r="D23"/>
  <c r="C23"/>
  <c r="B23"/>
  <c r="AV23" s="1"/>
  <c r="A23"/>
  <c r="AU23" s="1"/>
  <c r="AH22"/>
  <c r="AG22"/>
  <c r="AF22"/>
  <c r="AE22"/>
  <c r="AD22"/>
  <c r="CB22" s="1"/>
  <c r="AC22"/>
  <c r="AB22"/>
  <c r="BY22" s="1"/>
  <c r="AA22"/>
  <c r="Z22"/>
  <c r="BV22" s="1"/>
  <c r="Y22"/>
  <c r="X22"/>
  <c r="BS22" s="1"/>
  <c r="W22"/>
  <c r="V22"/>
  <c r="BP22" s="1"/>
  <c r="U22"/>
  <c r="T22"/>
  <c r="BM22" s="1"/>
  <c r="S22"/>
  <c r="R22"/>
  <c r="BJ22" s="1"/>
  <c r="Q22"/>
  <c r="P22"/>
  <c r="BG22" s="1"/>
  <c r="O22"/>
  <c r="N22"/>
  <c r="BD22" s="1"/>
  <c r="M22"/>
  <c r="L22"/>
  <c r="BA22" s="1"/>
  <c r="K22"/>
  <c r="J22"/>
  <c r="AX22" s="1"/>
  <c r="I22"/>
  <c r="H22"/>
  <c r="F22" s="1"/>
  <c r="G22"/>
  <c r="D22"/>
  <c r="C22"/>
  <c r="B22"/>
  <c r="AV22" s="1"/>
  <c r="A22"/>
  <c r="AU22" s="1"/>
  <c r="AH21"/>
  <c r="AG21"/>
  <c r="AF21"/>
  <c r="AE21"/>
  <c r="AD21"/>
  <c r="CB21" s="1"/>
  <c r="AC21"/>
  <c r="AB21"/>
  <c r="BY21" s="1"/>
  <c r="AA21"/>
  <c r="Z21"/>
  <c r="BV21" s="1"/>
  <c r="Y21"/>
  <c r="X21"/>
  <c r="BS21" s="1"/>
  <c r="W21"/>
  <c r="V21"/>
  <c r="BP21" s="1"/>
  <c r="U21"/>
  <c r="T21"/>
  <c r="BM21" s="1"/>
  <c r="S21"/>
  <c r="R21"/>
  <c r="BJ21" s="1"/>
  <c r="Q21"/>
  <c r="P21"/>
  <c r="BG21" s="1"/>
  <c r="O21"/>
  <c r="N21"/>
  <c r="BD21" s="1"/>
  <c r="M21"/>
  <c r="L21"/>
  <c r="BA21" s="1"/>
  <c r="K21"/>
  <c r="J21"/>
  <c r="AX21" s="1"/>
  <c r="I21"/>
  <c r="H21"/>
  <c r="F21" s="1"/>
  <c r="G21"/>
  <c r="D21"/>
  <c r="C21"/>
  <c r="A21"/>
  <c r="AU21" s="1"/>
  <c r="AH20"/>
  <c r="AG20"/>
  <c r="AF20"/>
  <c r="AE20"/>
  <c r="AD20"/>
  <c r="CB20" s="1"/>
  <c r="AC20"/>
  <c r="AB20"/>
  <c r="BY20" s="1"/>
  <c r="AA20"/>
  <c r="Z20"/>
  <c r="BV20" s="1"/>
  <c r="Y20"/>
  <c r="X20"/>
  <c r="BS20" s="1"/>
  <c r="W20"/>
  <c r="V20"/>
  <c r="BP20" s="1"/>
  <c r="U20"/>
  <c r="T20"/>
  <c r="BM20" s="1"/>
  <c r="S20"/>
  <c r="R20"/>
  <c r="BJ20" s="1"/>
  <c r="Q20"/>
  <c r="P20"/>
  <c r="BG20" s="1"/>
  <c r="O20"/>
  <c r="BF20" s="1"/>
  <c r="N20"/>
  <c r="BD20" s="1"/>
  <c r="M20"/>
  <c r="L20"/>
  <c r="BA20" s="1"/>
  <c r="K20"/>
  <c r="J20"/>
  <c r="AX20" s="1"/>
  <c r="I20"/>
  <c r="H20"/>
  <c r="F20" s="1"/>
  <c r="G20"/>
  <c r="D20"/>
  <c r="C20"/>
  <c r="B20"/>
  <c r="AV20" s="1"/>
  <c r="A20"/>
  <c r="AU20" s="1"/>
  <c r="AH19"/>
  <c r="AG19"/>
  <c r="AF19"/>
  <c r="AE19"/>
  <c r="AD19"/>
  <c r="CB19" s="1"/>
  <c r="AC19"/>
  <c r="AB19"/>
  <c r="BY19" s="1"/>
  <c r="AA19"/>
  <c r="Z19"/>
  <c r="BV19" s="1"/>
  <c r="Y19"/>
  <c r="X19"/>
  <c r="BS19" s="1"/>
  <c r="W19"/>
  <c r="V19"/>
  <c r="BP19" s="1"/>
  <c r="U19"/>
  <c r="BO19" s="1"/>
  <c r="T19"/>
  <c r="BM19" s="1"/>
  <c r="S19"/>
  <c r="BL19" s="1"/>
  <c r="R19"/>
  <c r="BJ19" s="1"/>
  <c r="Q19"/>
  <c r="BI19" s="1"/>
  <c r="P19"/>
  <c r="BG19" s="1"/>
  <c r="O19"/>
  <c r="BF19" s="1"/>
  <c r="N19"/>
  <c r="BD19" s="1"/>
  <c r="M19"/>
  <c r="BC19" s="1"/>
  <c r="H14" i="2" s="1"/>
  <c r="L19" i="8"/>
  <c r="BA19" s="1"/>
  <c r="K19"/>
  <c r="J19"/>
  <c r="AX19" s="1"/>
  <c r="I19"/>
  <c r="H19"/>
  <c r="F19" s="1"/>
  <c r="G19"/>
  <c r="D19"/>
  <c r="C19"/>
  <c r="B19"/>
  <c r="AV19" s="1"/>
  <c r="A19"/>
  <c r="AU19" s="1"/>
  <c r="AH18"/>
  <c r="AG18"/>
  <c r="AF18"/>
  <c r="AE18"/>
  <c r="AD18"/>
  <c r="CB18" s="1"/>
  <c r="AC18"/>
  <c r="AB18"/>
  <c r="BY18" s="1"/>
  <c r="AA18"/>
  <c r="Z18"/>
  <c r="BV18" s="1"/>
  <c r="Y18"/>
  <c r="X18"/>
  <c r="BS18" s="1"/>
  <c r="W18"/>
  <c r="V18"/>
  <c r="BP18" s="1"/>
  <c r="U18"/>
  <c r="T18"/>
  <c r="BM18" s="1"/>
  <c r="S18"/>
  <c r="R18"/>
  <c r="BJ18" s="1"/>
  <c r="Q18"/>
  <c r="P18"/>
  <c r="BG18" s="1"/>
  <c r="O18"/>
  <c r="N18"/>
  <c r="BD18" s="1"/>
  <c r="M18"/>
  <c r="L18"/>
  <c r="BA18" s="1"/>
  <c r="K18"/>
  <c r="J18"/>
  <c r="AX18" s="1"/>
  <c r="I18"/>
  <c r="H18"/>
  <c r="F18" s="1"/>
  <c r="G18"/>
  <c r="D18"/>
  <c r="C18"/>
  <c r="A18"/>
  <c r="AU18" s="1"/>
  <c r="AH17"/>
  <c r="AG17"/>
  <c r="AF17"/>
  <c r="AE17"/>
  <c r="AD17"/>
  <c r="CB17" s="1"/>
  <c r="AC17"/>
  <c r="AB17"/>
  <c r="BY17" s="1"/>
  <c r="AA17"/>
  <c r="Z17"/>
  <c r="BV17" s="1"/>
  <c r="Y17"/>
  <c r="X17"/>
  <c r="BS17" s="1"/>
  <c r="W17"/>
  <c r="V17"/>
  <c r="BP17" s="1"/>
  <c r="U17"/>
  <c r="T17"/>
  <c r="BM17" s="1"/>
  <c r="S17"/>
  <c r="R17"/>
  <c r="BJ17" s="1"/>
  <c r="Q17"/>
  <c r="P17"/>
  <c r="BG17" s="1"/>
  <c r="O17"/>
  <c r="N17"/>
  <c r="BD17" s="1"/>
  <c r="M17"/>
  <c r="L17"/>
  <c r="K17"/>
  <c r="J17"/>
  <c r="I17"/>
  <c r="H17"/>
  <c r="G17"/>
  <c r="D17"/>
  <c r="C17"/>
  <c r="B17"/>
  <c r="AV17" s="1"/>
  <c r="A17"/>
  <c r="AU17" s="1"/>
  <c r="AH16"/>
  <c r="AG16"/>
  <c r="AF16"/>
  <c r="AE16"/>
  <c r="AD16"/>
  <c r="CB16" s="1"/>
  <c r="AC16"/>
  <c r="AB16"/>
  <c r="AA16"/>
  <c r="Z16"/>
  <c r="Y16"/>
  <c r="X16"/>
  <c r="W16"/>
  <c r="V16"/>
  <c r="U16"/>
  <c r="T16"/>
  <c r="BM16" s="1"/>
  <c r="S16"/>
  <c r="R16"/>
  <c r="BJ16" s="1"/>
  <c r="Q16"/>
  <c r="P16"/>
  <c r="BG16" s="1"/>
  <c r="O16"/>
  <c r="N16"/>
  <c r="M16"/>
  <c r="L16"/>
  <c r="K16"/>
  <c r="J16"/>
  <c r="I16"/>
  <c r="H16"/>
  <c r="G16"/>
  <c r="D16"/>
  <c r="C16"/>
  <c r="B16"/>
  <c r="AV16" s="1"/>
  <c r="A16"/>
  <c r="AU16" s="1"/>
  <c r="AH15"/>
  <c r="AG15"/>
  <c r="AF15"/>
  <c r="AE15"/>
  <c r="AD15"/>
  <c r="CB15" s="1"/>
  <c r="AC15"/>
  <c r="AB15"/>
  <c r="BY15" s="1"/>
  <c r="AA15"/>
  <c r="Z15"/>
  <c r="BV15" s="1"/>
  <c r="Y15"/>
  <c r="X15"/>
  <c r="BS15" s="1"/>
  <c r="W15"/>
  <c r="V15"/>
  <c r="BP15" s="1"/>
  <c r="U15"/>
  <c r="T15"/>
  <c r="BM15" s="1"/>
  <c r="S15"/>
  <c r="R15"/>
  <c r="Q15"/>
  <c r="P15"/>
  <c r="O15"/>
  <c r="N15"/>
  <c r="M15"/>
  <c r="L15"/>
  <c r="BA15" s="1"/>
  <c r="K15"/>
  <c r="J15"/>
  <c r="I15"/>
  <c r="H15"/>
  <c r="G15"/>
  <c r="D15"/>
  <c r="C15"/>
  <c r="B15"/>
  <c r="AV15" s="1"/>
  <c r="A15"/>
  <c r="AU15" s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31" s="1"/>
  <c r="I14"/>
  <c r="H14"/>
  <c r="H31" s="1"/>
  <c r="G14"/>
  <c r="D14"/>
  <c r="C14"/>
  <c r="B14"/>
  <c r="A14"/>
  <c r="AU14" s="1"/>
  <c r="AH10"/>
  <c r="AG10"/>
  <c r="CG10" s="1"/>
  <c r="R28" i="2" s="1"/>
  <c r="R26" s="1"/>
  <c r="AF10" i="8"/>
  <c r="CE10" s="1"/>
  <c r="AE10"/>
  <c r="CD10" s="1"/>
  <c r="Q28" i="2" s="1"/>
  <c r="Q26" s="1"/>
  <c r="AD10" i="8"/>
  <c r="AC10"/>
  <c r="CA10" s="1"/>
  <c r="P28" i="2" s="1"/>
  <c r="AB10" i="8"/>
  <c r="AA10"/>
  <c r="BX10" s="1"/>
  <c r="O28" i="2" s="1"/>
  <c r="Z10" i="8"/>
  <c r="Y10"/>
  <c r="BU10" s="1"/>
  <c r="N28" i="2" s="1"/>
  <c r="X10" i="8"/>
  <c r="W10"/>
  <c r="BR10" s="1"/>
  <c r="M28" i="2" s="1"/>
  <c r="V10" i="8"/>
  <c r="U10"/>
  <c r="BO10" s="1"/>
  <c r="L28" i="2" s="1"/>
  <c r="T10" i="8"/>
  <c r="S10"/>
  <c r="BL10" s="1"/>
  <c r="K28" i="2" s="1"/>
  <c r="R10" i="8"/>
  <c r="Q10"/>
  <c r="BI10" s="1"/>
  <c r="J28" i="2" s="1"/>
  <c r="P10" i="8"/>
  <c r="O10"/>
  <c r="BF10" s="1"/>
  <c r="I28" i="2" s="1"/>
  <c r="N10" i="8"/>
  <c r="M10"/>
  <c r="L10"/>
  <c r="BA10" s="1"/>
  <c r="K10"/>
  <c r="J10"/>
  <c r="F10" s="1"/>
  <c r="I10"/>
  <c r="H10"/>
  <c r="G10"/>
  <c r="D10"/>
  <c r="C10"/>
  <c r="B10"/>
  <c r="AV10" s="1"/>
  <c r="A10"/>
  <c r="AU10" s="1"/>
  <c r="AH9"/>
  <c r="AG9"/>
  <c r="AF9"/>
  <c r="CE9" s="1"/>
  <c r="AE9"/>
  <c r="CD9" s="1"/>
  <c r="AD9"/>
  <c r="CB9" s="1"/>
  <c r="AC9"/>
  <c r="CA9" s="1"/>
  <c r="AB9"/>
  <c r="BY9" s="1"/>
  <c r="AA9"/>
  <c r="BX9" s="1"/>
  <c r="Z9"/>
  <c r="BV9" s="1"/>
  <c r="Y9"/>
  <c r="BU9" s="1"/>
  <c r="X9"/>
  <c r="BS9" s="1"/>
  <c r="W9"/>
  <c r="BR9" s="1"/>
  <c r="V9"/>
  <c r="BP9" s="1"/>
  <c r="U9"/>
  <c r="BO9" s="1"/>
  <c r="T9"/>
  <c r="BM9" s="1"/>
  <c r="S9"/>
  <c r="BL9" s="1"/>
  <c r="R9"/>
  <c r="BJ9" s="1"/>
  <c r="Q9"/>
  <c r="BI9" s="1"/>
  <c r="P9"/>
  <c r="BG9" s="1"/>
  <c r="O9"/>
  <c r="BF9" s="1"/>
  <c r="N9"/>
  <c r="BD9" s="1"/>
  <c r="M9"/>
  <c r="BC9" s="1"/>
  <c r="L9"/>
  <c r="K9"/>
  <c r="AZ9" s="1"/>
  <c r="J9"/>
  <c r="I9"/>
  <c r="AW9" s="1"/>
  <c r="H9"/>
  <c r="G9"/>
  <c r="E9" s="1"/>
  <c r="D9"/>
  <c r="C9"/>
  <c r="B9"/>
  <c r="AV9" s="1"/>
  <c r="A9"/>
  <c r="AU9" s="1"/>
  <c r="AH8"/>
  <c r="AG8"/>
  <c r="AF8"/>
  <c r="CE8" s="1"/>
  <c r="AE8"/>
  <c r="CD8" s="1"/>
  <c r="AD8"/>
  <c r="CB8" s="1"/>
  <c r="AC8"/>
  <c r="CA8" s="1"/>
  <c r="AB8"/>
  <c r="BY8" s="1"/>
  <c r="AA8"/>
  <c r="BX8" s="1"/>
  <c r="Z8"/>
  <c r="BV8" s="1"/>
  <c r="Y8"/>
  <c r="BU8" s="1"/>
  <c r="X8"/>
  <c r="BS8" s="1"/>
  <c r="W8"/>
  <c r="BR8" s="1"/>
  <c r="V8"/>
  <c r="BP8" s="1"/>
  <c r="U8"/>
  <c r="BO8" s="1"/>
  <c r="T8"/>
  <c r="BM8" s="1"/>
  <c r="S8"/>
  <c r="BL8" s="1"/>
  <c r="R8"/>
  <c r="BJ8" s="1"/>
  <c r="Q8"/>
  <c r="BI8" s="1"/>
  <c r="P8"/>
  <c r="BG8" s="1"/>
  <c r="O8"/>
  <c r="BF8" s="1"/>
  <c r="N8"/>
  <c r="BD8" s="1"/>
  <c r="M8"/>
  <c r="BC8" s="1"/>
  <c r="L8"/>
  <c r="K8"/>
  <c r="AZ8" s="1"/>
  <c r="J8"/>
  <c r="I8"/>
  <c r="AW8" s="1"/>
  <c r="H8"/>
  <c r="G8"/>
  <c r="E8" s="1"/>
  <c r="D8"/>
  <c r="C8"/>
  <c r="B8"/>
  <c r="AV8" s="1"/>
  <c r="A8"/>
  <c r="AU8" s="1"/>
  <c r="AH7"/>
  <c r="AG7"/>
  <c r="AF7"/>
  <c r="CE7" s="1"/>
  <c r="AE7"/>
  <c r="CD7" s="1"/>
  <c r="AD7"/>
  <c r="CB7" s="1"/>
  <c r="AC7"/>
  <c r="CA7" s="1"/>
  <c r="AB7"/>
  <c r="BY7" s="1"/>
  <c r="AA7"/>
  <c r="BX7" s="1"/>
  <c r="Z7"/>
  <c r="BV7" s="1"/>
  <c r="Y7"/>
  <c r="BU7" s="1"/>
  <c r="X7"/>
  <c r="W7"/>
  <c r="V7"/>
  <c r="BP7" s="1"/>
  <c r="U7"/>
  <c r="T7"/>
  <c r="BM7" s="1"/>
  <c r="S7"/>
  <c r="R7"/>
  <c r="Q7"/>
  <c r="P7"/>
  <c r="O7"/>
  <c r="BF7" s="1"/>
  <c r="N7"/>
  <c r="M7"/>
  <c r="BC7" s="1"/>
  <c r="L7"/>
  <c r="K7"/>
  <c r="AZ7" s="1"/>
  <c r="J7"/>
  <c r="I7"/>
  <c r="AW7" s="1"/>
  <c r="H7"/>
  <c r="G7"/>
  <c r="E7" s="1"/>
  <c r="D7"/>
  <c r="C7"/>
  <c r="B7"/>
  <c r="AV7" s="1"/>
  <c r="A7"/>
  <c r="AU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U6" s="1"/>
  <c r="AZ4"/>
  <c r="BC4" s="1"/>
  <c r="BF4" s="1"/>
  <c r="BI4" s="1"/>
  <c r="BL4" s="1"/>
  <c r="BO4" s="1"/>
  <c r="BR4" s="1"/>
  <c r="BU4" s="1"/>
  <c r="BX4" s="1"/>
  <c r="CA4" s="1"/>
  <c r="CD4" s="1"/>
  <c r="CG4" s="1"/>
  <c r="CJ4" s="1"/>
  <c r="CM4" s="1"/>
  <c r="CP4" s="1"/>
  <c r="CS4" s="1"/>
  <c r="CV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CX63" i="7"/>
  <c r="CF63"/>
  <c r="CC63"/>
  <c r="BZ63"/>
  <c r="BW63"/>
  <c r="BT63"/>
  <c r="BQ63"/>
  <c r="BN63"/>
  <c r="BK63"/>
  <c r="BH63"/>
  <c r="BE63"/>
  <c r="BB63"/>
  <c r="AY63"/>
  <c r="D58"/>
  <c r="C58"/>
  <c r="AU57"/>
  <c r="F57"/>
  <c r="E57"/>
  <c r="CD56"/>
  <c r="AU56"/>
  <c r="E56"/>
  <c r="CD55"/>
  <c r="CA55"/>
  <c r="AU55"/>
  <c r="E55"/>
  <c r="CD54"/>
  <c r="CA54"/>
  <c r="BX54"/>
  <c r="AU54"/>
  <c r="E54"/>
  <c r="CE53"/>
  <c r="CD53"/>
  <c r="CA53"/>
  <c r="BX53"/>
  <c r="BU53"/>
  <c r="AU53"/>
  <c r="E53"/>
  <c r="CD52"/>
  <c r="CA52"/>
  <c r="BX52"/>
  <c r="BU52"/>
  <c r="BR52"/>
  <c r="AU52"/>
  <c r="E52"/>
  <c r="CD51"/>
  <c r="CA51"/>
  <c r="BX51"/>
  <c r="BU51"/>
  <c r="BR51"/>
  <c r="BO51"/>
  <c r="AU51"/>
  <c r="E51"/>
  <c r="CD50"/>
  <c r="CA50"/>
  <c r="BX50"/>
  <c r="BU50"/>
  <c r="BR50"/>
  <c r="BO50"/>
  <c r="BL50"/>
  <c r="AU50"/>
  <c r="E50"/>
  <c r="CD49"/>
  <c r="CA49"/>
  <c r="BX49"/>
  <c r="BU49"/>
  <c r="BR49"/>
  <c r="BO49"/>
  <c r="BL49"/>
  <c r="BI49"/>
  <c r="AU49"/>
  <c r="E49"/>
  <c r="CD48"/>
  <c r="CA48"/>
  <c r="BX48"/>
  <c r="BU48"/>
  <c r="BR48"/>
  <c r="BO48"/>
  <c r="BL48"/>
  <c r="BI48"/>
  <c r="BF48"/>
  <c r="AU48"/>
  <c r="E48"/>
  <c r="CD47"/>
  <c r="CA47"/>
  <c r="BX47"/>
  <c r="BU47"/>
  <c r="BR47"/>
  <c r="BO47"/>
  <c r="BL47"/>
  <c r="BI47"/>
  <c r="BF47"/>
  <c r="BC47"/>
  <c r="AU47"/>
  <c r="E47"/>
  <c r="CD46"/>
  <c r="CA46"/>
  <c r="BX46"/>
  <c r="BU46"/>
  <c r="BR46"/>
  <c r="BO46"/>
  <c r="BL46"/>
  <c r="BI46"/>
  <c r="BF46"/>
  <c r="BC46"/>
  <c r="AZ46"/>
  <c r="AU46"/>
  <c r="E46"/>
  <c r="CE44"/>
  <c r="CD44"/>
  <c r="CB44"/>
  <c r="CA44"/>
  <c r="BY44"/>
  <c r="BX44"/>
  <c r="BV44"/>
  <c r="BU44"/>
  <c r="BS44"/>
  <c r="BR44"/>
  <c r="BP44"/>
  <c r="BO44"/>
  <c r="BM44"/>
  <c r="BL44"/>
  <c r="BJ44"/>
  <c r="BI44"/>
  <c r="BG44"/>
  <c r="BF44"/>
  <c r="BD44"/>
  <c r="BC44"/>
  <c r="BA44"/>
  <c r="AZ44"/>
  <c r="AX44"/>
  <c r="AW44"/>
  <c r="AU44"/>
  <c r="F44"/>
  <c r="E44"/>
  <c r="B44"/>
  <c r="B44" i="8" s="1"/>
  <c r="F43" i="7"/>
  <c r="E43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V40"/>
  <c r="AU40"/>
  <c r="F40"/>
  <c r="E40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V39"/>
  <c r="AU39"/>
  <c r="F39"/>
  <c r="E39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A38"/>
  <c r="AX38"/>
  <c r="AV38"/>
  <c r="AU38"/>
  <c r="F38"/>
  <c r="CE37"/>
  <c r="CD37"/>
  <c r="CF37" s="1"/>
  <c r="CB37"/>
  <c r="CA37"/>
  <c r="CC37" s="1"/>
  <c r="BY37"/>
  <c r="BX37"/>
  <c r="BZ37" s="1"/>
  <c r="BV37"/>
  <c r="BU37"/>
  <c r="BW37" s="1"/>
  <c r="BS37"/>
  <c r="BR37"/>
  <c r="BT37" s="1"/>
  <c r="BP37"/>
  <c r="BO37"/>
  <c r="BQ37" s="1"/>
  <c r="BM37"/>
  <c r="BL37"/>
  <c r="BN37" s="1"/>
  <c r="BJ37"/>
  <c r="BI37"/>
  <c r="BK37" s="1"/>
  <c r="BG37"/>
  <c r="BF37"/>
  <c r="BH37" s="1"/>
  <c r="BD37"/>
  <c r="BC37"/>
  <c r="BE37" s="1"/>
  <c r="BA37"/>
  <c r="AZ37"/>
  <c r="BB37" s="1"/>
  <c r="AX37"/>
  <c r="AW37"/>
  <c r="AU37"/>
  <c r="F37"/>
  <c r="E37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V36"/>
  <c r="AU36"/>
  <c r="F36"/>
  <c r="E36"/>
  <c r="G32"/>
  <c r="D31"/>
  <c r="C31"/>
  <c r="C32" s="1"/>
  <c r="CA27"/>
  <c r="BX27"/>
  <c r="BU27"/>
  <c r="BR27"/>
  <c r="BO27"/>
  <c r="BL27"/>
  <c r="BI27"/>
  <c r="BF27"/>
  <c r="BC27"/>
  <c r="AU27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U26"/>
  <c r="F26"/>
  <c r="E26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U25"/>
  <c r="F25"/>
  <c r="E25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V24"/>
  <c r="AU24"/>
  <c r="F24"/>
  <c r="E24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V23"/>
  <c r="AU23"/>
  <c r="F23"/>
  <c r="E23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V22"/>
  <c r="AU22"/>
  <c r="F22"/>
  <c r="E22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F21"/>
  <c r="E21"/>
  <c r="B21"/>
  <c r="B21" i="8" s="1"/>
  <c r="AV21" s="1"/>
  <c r="CE20" i="7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V20"/>
  <c r="AU20"/>
  <c r="F20"/>
  <c r="E20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V19"/>
  <c r="AU19"/>
  <c r="F19"/>
  <c r="E19"/>
  <c r="CE18"/>
  <c r="CD18"/>
  <c r="CB18"/>
  <c r="CA18"/>
  <c r="BY18"/>
  <c r="BX18"/>
  <c r="BV18"/>
  <c r="BU18"/>
  <c r="BS18"/>
  <c r="BR18"/>
  <c r="BP18"/>
  <c r="BO18"/>
  <c r="BM18"/>
  <c r="BL18"/>
  <c r="BJ18"/>
  <c r="BI18"/>
  <c r="BG18"/>
  <c r="BF18"/>
  <c r="BD18"/>
  <c r="BC18"/>
  <c r="BA18"/>
  <c r="AZ18"/>
  <c r="AX18"/>
  <c r="AW18"/>
  <c r="AU18"/>
  <c r="F18"/>
  <c r="E18"/>
  <c r="B18"/>
  <c r="CE17"/>
  <c r="CD17"/>
  <c r="CB17"/>
  <c r="CA17"/>
  <c r="BY17"/>
  <c r="BX17"/>
  <c r="BV17"/>
  <c r="BU17"/>
  <c r="BS17"/>
  <c r="BR17"/>
  <c r="BP17"/>
  <c r="BO17"/>
  <c r="BM17"/>
  <c r="BL17"/>
  <c r="BJ17"/>
  <c r="BI17"/>
  <c r="BG17"/>
  <c r="BF17"/>
  <c r="BD17"/>
  <c r="BC17"/>
  <c r="BA17"/>
  <c r="AZ17"/>
  <c r="AX17"/>
  <c r="AW17"/>
  <c r="AV17"/>
  <c r="AU17"/>
  <c r="F17"/>
  <c r="E17"/>
  <c r="CE16"/>
  <c r="CD16"/>
  <c r="CB16"/>
  <c r="CA16"/>
  <c r="BY16"/>
  <c r="BX16"/>
  <c r="BV16"/>
  <c r="BU16"/>
  <c r="BS16"/>
  <c r="BR16"/>
  <c r="BP16"/>
  <c r="BO16"/>
  <c r="BM16"/>
  <c r="BL16"/>
  <c r="BJ16"/>
  <c r="BI16"/>
  <c r="BG16"/>
  <c r="BF16"/>
  <c r="BD16"/>
  <c r="BC16"/>
  <c r="BA16"/>
  <c r="AZ16"/>
  <c r="AX16"/>
  <c r="AW16"/>
  <c r="AV16"/>
  <c r="AU16"/>
  <c r="F16"/>
  <c r="E16"/>
  <c r="CE15"/>
  <c r="CD15"/>
  <c r="CB15"/>
  <c r="CA15"/>
  <c r="BY15"/>
  <c r="BX15"/>
  <c r="BV15"/>
  <c r="BU15"/>
  <c r="BS15"/>
  <c r="BR15"/>
  <c r="BP15"/>
  <c r="BO15"/>
  <c r="BM15"/>
  <c r="BL15"/>
  <c r="BJ15"/>
  <c r="BI15"/>
  <c r="BG15"/>
  <c r="BF15"/>
  <c r="BD15"/>
  <c r="BC15"/>
  <c r="BA15"/>
  <c r="AZ15"/>
  <c r="AX15"/>
  <c r="AW15"/>
  <c r="AV15"/>
  <c r="AU15"/>
  <c r="F15"/>
  <c r="E15"/>
  <c r="CE14"/>
  <c r="CD14"/>
  <c r="CD31" s="1"/>
  <c r="CB14"/>
  <c r="CA14"/>
  <c r="CA31" s="1"/>
  <c r="BY14"/>
  <c r="BX14"/>
  <c r="BX31" s="1"/>
  <c r="BV14"/>
  <c r="BU14"/>
  <c r="BU31" s="1"/>
  <c r="BS14"/>
  <c r="BR14"/>
  <c r="BR31" s="1"/>
  <c r="BP14"/>
  <c r="BO14"/>
  <c r="BO31" s="1"/>
  <c r="BM14"/>
  <c r="BL14"/>
  <c r="BL31" s="1"/>
  <c r="BJ14"/>
  <c r="BI14"/>
  <c r="BI31" s="1"/>
  <c r="BG14"/>
  <c r="BF14"/>
  <c r="BF31" s="1"/>
  <c r="BD14"/>
  <c r="BC14"/>
  <c r="BC31" s="1"/>
  <c r="BA14"/>
  <c r="AZ14"/>
  <c r="AX14"/>
  <c r="AX31" s="1"/>
  <c r="AW14"/>
  <c r="AW31" s="1"/>
  <c r="AV14"/>
  <c r="AU14"/>
  <c r="F14"/>
  <c r="E14"/>
  <c r="AG60"/>
  <c r="AE60"/>
  <c r="AC60"/>
  <c r="AA60"/>
  <c r="Y60"/>
  <c r="U60"/>
  <c r="Q60"/>
  <c r="I60"/>
  <c r="H60"/>
  <c r="G60"/>
  <c r="D11"/>
  <c r="D60" s="1"/>
  <c r="C11"/>
  <c r="C60" s="1"/>
  <c r="AV10"/>
  <c r="AU10"/>
  <c r="CE9"/>
  <c r="CD9"/>
  <c r="CB9"/>
  <c r="CA9"/>
  <c r="BY9"/>
  <c r="BX9"/>
  <c r="BV9"/>
  <c r="BU9"/>
  <c r="BS9"/>
  <c r="BR9"/>
  <c r="BP9"/>
  <c r="BO9"/>
  <c r="BM9"/>
  <c r="BL9"/>
  <c r="BJ9"/>
  <c r="BI9"/>
  <c r="BG9"/>
  <c r="BF9"/>
  <c r="BD9"/>
  <c r="BC9"/>
  <c r="BA9"/>
  <c r="AZ9"/>
  <c r="AX9"/>
  <c r="AW9"/>
  <c r="AV9"/>
  <c r="AU9"/>
  <c r="F9"/>
  <c r="E9"/>
  <c r="CE8"/>
  <c r="CD8"/>
  <c r="CB8"/>
  <c r="CA8"/>
  <c r="BY8"/>
  <c r="BX8"/>
  <c r="BV8"/>
  <c r="BU8"/>
  <c r="BS8"/>
  <c r="BR8"/>
  <c r="BP8"/>
  <c r="BO8"/>
  <c r="BM8"/>
  <c r="BL8"/>
  <c r="BJ8"/>
  <c r="BI8"/>
  <c r="BG8"/>
  <c r="BF8"/>
  <c r="BD8"/>
  <c r="BC8"/>
  <c r="BA8"/>
  <c r="AZ8"/>
  <c r="AX8"/>
  <c r="AW8"/>
  <c r="AV8"/>
  <c r="AU8"/>
  <c r="F8"/>
  <c r="E8"/>
  <c r="CE7"/>
  <c r="CD7"/>
  <c r="CB7"/>
  <c r="CA7"/>
  <c r="BY7"/>
  <c r="BX7"/>
  <c r="BV7"/>
  <c r="BU7"/>
  <c r="BS7"/>
  <c r="BR7"/>
  <c r="BP7"/>
  <c r="BO7"/>
  <c r="BM7"/>
  <c r="BL7"/>
  <c r="BJ7"/>
  <c r="BI7"/>
  <c r="BG7"/>
  <c r="BF7"/>
  <c r="BD7"/>
  <c r="BC7"/>
  <c r="BA7"/>
  <c r="AZ7"/>
  <c r="AX7"/>
  <c r="AW7"/>
  <c r="AV7"/>
  <c r="AU7"/>
  <c r="F7"/>
  <c r="E7"/>
  <c r="CE6"/>
  <c r="CE11" s="1"/>
  <c r="CD6"/>
  <c r="CD11" s="1"/>
  <c r="CB6"/>
  <c r="CB11" s="1"/>
  <c r="CA6"/>
  <c r="CA11" s="1"/>
  <c r="BY6"/>
  <c r="BY11" s="1"/>
  <c r="BX6"/>
  <c r="BX11" s="1"/>
  <c r="BV6"/>
  <c r="BV11" s="1"/>
  <c r="BU6"/>
  <c r="BU11" s="1"/>
  <c r="BS6"/>
  <c r="BS11" s="1"/>
  <c r="BR6"/>
  <c r="BR11" s="1"/>
  <c r="BP6"/>
  <c r="BP11" s="1"/>
  <c r="BO6"/>
  <c r="BO11" s="1"/>
  <c r="BM6"/>
  <c r="BM11" s="1"/>
  <c r="BL6"/>
  <c r="BL11" s="1"/>
  <c r="BJ6"/>
  <c r="BJ11" s="1"/>
  <c r="BI6"/>
  <c r="BI11" s="1"/>
  <c r="BG6"/>
  <c r="BG11" s="1"/>
  <c r="BF6"/>
  <c r="BF11" s="1"/>
  <c r="BD6"/>
  <c r="BD11" s="1"/>
  <c r="BC6"/>
  <c r="BC11" s="1"/>
  <c r="BA6"/>
  <c r="BA11" s="1"/>
  <c r="AZ6"/>
  <c r="AZ11" s="1"/>
  <c r="AX6"/>
  <c r="AX11" s="1"/>
  <c r="AW6"/>
  <c r="AW11" s="1"/>
  <c r="AV6"/>
  <c r="AV11" s="1"/>
  <c r="AU6"/>
  <c r="F6"/>
  <c r="F11" s="1"/>
  <c r="E6"/>
  <c r="E11" s="1"/>
  <c r="AZ4"/>
  <c r="BC4" s="1"/>
  <c r="BF4" s="1"/>
  <c r="BI4" s="1"/>
  <c r="BL4" s="1"/>
  <c r="BO4" s="1"/>
  <c r="BR4" s="1"/>
  <c r="BU4" s="1"/>
  <c r="BX4" s="1"/>
  <c r="CA4" s="1"/>
  <c r="CD4" s="1"/>
  <c r="CG4" s="1"/>
  <c r="CJ4" s="1"/>
  <c r="CM4" s="1"/>
  <c r="CP4" s="1"/>
  <c r="CS4" s="1"/>
  <c r="CV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D121" i="9" l="1"/>
  <c r="D117"/>
  <c r="D113"/>
  <c r="D120"/>
  <c r="D116"/>
  <c r="D123"/>
  <c r="D115"/>
  <c r="D122"/>
  <c r="D114"/>
  <c r="D119"/>
  <c r="D118"/>
  <c r="R36" i="3"/>
  <c r="N36"/>
  <c r="P36"/>
  <c r="CQ10" i="8"/>
  <c r="CW10"/>
  <c r="CT10"/>
  <c r="AY37" i="7"/>
  <c r="AX58"/>
  <c r="D61" i="8"/>
  <c r="L42"/>
  <c r="CV6"/>
  <c r="CS6"/>
  <c r="CP6"/>
  <c r="CM6"/>
  <c r="CJ7"/>
  <c r="CV7"/>
  <c r="CS7"/>
  <c r="CP7"/>
  <c r="CM7"/>
  <c r="CJ8"/>
  <c r="CV8"/>
  <c r="CS8"/>
  <c r="CP8"/>
  <c r="CM8"/>
  <c r="CJ9"/>
  <c r="CV9"/>
  <c r="CS9"/>
  <c r="CP9"/>
  <c r="CM9"/>
  <c r="E10"/>
  <c r="CJ14"/>
  <c r="T9" i="3"/>
  <c r="CV14" i="8"/>
  <c r="CS14"/>
  <c r="CP14"/>
  <c r="CM14"/>
  <c r="CJ15"/>
  <c r="T10" i="3"/>
  <c r="CV15" i="8"/>
  <c r="CS15"/>
  <c r="CP15"/>
  <c r="CM15"/>
  <c r="CJ16"/>
  <c r="T11" i="3"/>
  <c r="CV16" i="8"/>
  <c r="CS16"/>
  <c r="CP16"/>
  <c r="CM16"/>
  <c r="CJ17"/>
  <c r="T12" i="3"/>
  <c r="CV17" i="8"/>
  <c r="CS17"/>
  <c r="CP17"/>
  <c r="CM17"/>
  <c r="CK18"/>
  <c r="U13" i="3"/>
  <c r="CW18" i="8"/>
  <c r="CT18"/>
  <c r="CQ18"/>
  <c r="CN18"/>
  <c r="CK19"/>
  <c r="U14" i="3"/>
  <c r="CW19" i="8"/>
  <c r="CT19"/>
  <c r="CQ19"/>
  <c r="CN19"/>
  <c r="CK20"/>
  <c r="U15" i="3"/>
  <c r="CW20" i="8"/>
  <c r="CT20"/>
  <c r="CQ20"/>
  <c r="CN20"/>
  <c r="CJ21"/>
  <c r="T16" i="3"/>
  <c r="CV21" i="8"/>
  <c r="CS21"/>
  <c r="CP21"/>
  <c r="CM21"/>
  <c r="CJ22"/>
  <c r="T17" i="3"/>
  <c r="CV22" i="8"/>
  <c r="CS22"/>
  <c r="CP22"/>
  <c r="CM22"/>
  <c r="CJ23"/>
  <c r="T18" i="3"/>
  <c r="CV23" i="8"/>
  <c r="CS23"/>
  <c r="CP23"/>
  <c r="CM23"/>
  <c r="CJ24"/>
  <c r="T19" i="3"/>
  <c r="CV24" i="8"/>
  <c r="CS24"/>
  <c r="CP24"/>
  <c r="CM24"/>
  <c r="CK36"/>
  <c r="U28" i="3"/>
  <c r="CW36" i="8"/>
  <c r="CT36"/>
  <c r="CQ36"/>
  <c r="CN36"/>
  <c r="CK37"/>
  <c r="U29" i="3"/>
  <c r="CW37" i="8"/>
  <c r="CT37"/>
  <c r="CQ37"/>
  <c r="CN37"/>
  <c r="CK38"/>
  <c r="U30" i="3"/>
  <c r="CW38" i="8"/>
  <c r="CT38"/>
  <c r="CQ38"/>
  <c r="CN38"/>
  <c r="CK39"/>
  <c r="U31" i="3"/>
  <c r="CW39" i="8"/>
  <c r="CT39"/>
  <c r="CQ39"/>
  <c r="CN39"/>
  <c r="CK40"/>
  <c r="U32" i="3"/>
  <c r="CW40" i="8"/>
  <c r="CT40"/>
  <c r="CQ40"/>
  <c r="CN40"/>
  <c r="CK44"/>
  <c r="U34" i="3"/>
  <c r="CW44" i="8"/>
  <c r="CT44"/>
  <c r="CQ44"/>
  <c r="CN44"/>
  <c r="CJ48"/>
  <c r="CV48"/>
  <c r="CS48"/>
  <c r="CP48"/>
  <c r="CM48"/>
  <c r="CK49"/>
  <c r="CW49"/>
  <c r="CT49"/>
  <c r="CQ49"/>
  <c r="CN49"/>
  <c r="CK50"/>
  <c r="CW50"/>
  <c r="CT50"/>
  <c r="CQ50"/>
  <c r="CN50"/>
  <c r="CJ51"/>
  <c r="CV51"/>
  <c r="CS51"/>
  <c r="CP51"/>
  <c r="CM51"/>
  <c r="CJ52"/>
  <c r="CV52"/>
  <c r="CS52"/>
  <c r="CP52"/>
  <c r="CM52"/>
  <c r="CJ53"/>
  <c r="CV53"/>
  <c r="CS53"/>
  <c r="CP53"/>
  <c r="CM53"/>
  <c r="CJ54"/>
  <c r="CV54"/>
  <c r="CS54"/>
  <c r="CP54"/>
  <c r="CM54"/>
  <c r="CK55"/>
  <c r="CW55"/>
  <c r="CT55"/>
  <c r="CQ55"/>
  <c r="CN55"/>
  <c r="CK56"/>
  <c r="CW56"/>
  <c r="CT56"/>
  <c r="CQ56"/>
  <c r="CN56"/>
  <c r="CK57"/>
  <c r="CW57"/>
  <c r="CT57"/>
  <c r="CQ57"/>
  <c r="CN57"/>
  <c r="CW6"/>
  <c r="CT6"/>
  <c r="CQ6"/>
  <c r="CN6"/>
  <c r="CK7"/>
  <c r="CW7"/>
  <c r="CT7"/>
  <c r="CQ7"/>
  <c r="CN7"/>
  <c r="CK8"/>
  <c r="CW8"/>
  <c r="CT8"/>
  <c r="CQ8"/>
  <c r="CN8"/>
  <c r="CK9"/>
  <c r="CW9"/>
  <c r="CT9"/>
  <c r="CQ9"/>
  <c r="CN9"/>
  <c r="CK14"/>
  <c r="U9" i="3"/>
  <c r="CW14" i="8"/>
  <c r="CT14"/>
  <c r="CQ14"/>
  <c r="CN14"/>
  <c r="CK15"/>
  <c r="U10" i="3"/>
  <c r="CW15" i="8"/>
  <c r="CT15"/>
  <c r="CQ15"/>
  <c r="CN15"/>
  <c r="CK16"/>
  <c r="U11" i="3"/>
  <c r="CW16" i="8"/>
  <c r="CT16"/>
  <c r="CQ16"/>
  <c r="CN16"/>
  <c r="CK17"/>
  <c r="U12" i="3"/>
  <c r="CW17" i="8"/>
  <c r="CT17"/>
  <c r="CQ17"/>
  <c r="CN17"/>
  <c r="CJ18"/>
  <c r="T13" i="3"/>
  <c r="CV18" i="8"/>
  <c r="CX18" s="1"/>
  <c r="CS18"/>
  <c r="CP18"/>
  <c r="CR18" s="1"/>
  <c r="CM18"/>
  <c r="CJ19"/>
  <c r="T14" i="3"/>
  <c r="CV19" i="8"/>
  <c r="CX19" s="1"/>
  <c r="CS19"/>
  <c r="CP19"/>
  <c r="CR19" s="1"/>
  <c r="CM19"/>
  <c r="CJ20"/>
  <c r="CL20" s="1"/>
  <c r="T15" i="3"/>
  <c r="CV20" i="8"/>
  <c r="CX20" s="1"/>
  <c r="CS20"/>
  <c r="CP20"/>
  <c r="CR20" s="1"/>
  <c r="CM20"/>
  <c r="CK21"/>
  <c r="CL21" s="1"/>
  <c r="U16" i="3"/>
  <c r="CW21" i="8"/>
  <c r="CT21"/>
  <c r="CQ21"/>
  <c r="CN21"/>
  <c r="CK22"/>
  <c r="U17" i="3"/>
  <c r="CW22" i="8"/>
  <c r="CT22"/>
  <c r="CQ22"/>
  <c r="CN22"/>
  <c r="CK23"/>
  <c r="U18" i="3"/>
  <c r="CW23" i="8"/>
  <c r="CT23"/>
  <c r="CQ23"/>
  <c r="CN23"/>
  <c r="CK24"/>
  <c r="U19" i="3"/>
  <c r="CW24" i="8"/>
  <c r="CT24"/>
  <c r="CQ24"/>
  <c r="CN24"/>
  <c r="CJ36"/>
  <c r="T28" i="3"/>
  <c r="CV36" i="8"/>
  <c r="CS36"/>
  <c r="CP36"/>
  <c r="CM36"/>
  <c r="CJ37"/>
  <c r="T29" i="3"/>
  <c r="CV37" i="8"/>
  <c r="CX37" s="1"/>
  <c r="CS37"/>
  <c r="CP37"/>
  <c r="CR37" s="1"/>
  <c r="CM37"/>
  <c r="CJ38"/>
  <c r="CL38" s="1"/>
  <c r="T30" i="3"/>
  <c r="CV38" i="8"/>
  <c r="CX38" s="1"/>
  <c r="CS38"/>
  <c r="CP38"/>
  <c r="CR38" s="1"/>
  <c r="CM38"/>
  <c r="CJ39"/>
  <c r="CL39" s="1"/>
  <c r="T31" i="3"/>
  <c r="CV39" i="8"/>
  <c r="CX39" s="1"/>
  <c r="CS39"/>
  <c r="CP39"/>
  <c r="CR39" s="1"/>
  <c r="CM39"/>
  <c r="CJ40"/>
  <c r="CL40" s="1"/>
  <c r="T32" i="3"/>
  <c r="CV40" i="8"/>
  <c r="CX40" s="1"/>
  <c r="CS40"/>
  <c r="CP40"/>
  <c r="CR40" s="1"/>
  <c r="CM40"/>
  <c r="CJ44"/>
  <c r="CL44" s="1"/>
  <c r="T34" i="3"/>
  <c r="CV44" i="8"/>
  <c r="CX44" s="1"/>
  <c r="CS44"/>
  <c r="CP44"/>
  <c r="CR44" s="1"/>
  <c r="CM44"/>
  <c r="CJ46"/>
  <c r="S38" i="2" s="1"/>
  <c r="CV46" i="8"/>
  <c r="CS46"/>
  <c r="CP46"/>
  <c r="U38" i="2" s="1"/>
  <c r="CM46" i="8"/>
  <c r="T38" i="2" s="1"/>
  <c r="CJ47" i="8"/>
  <c r="CV47"/>
  <c r="CS47"/>
  <c r="CP47"/>
  <c r="CM47"/>
  <c r="CK48"/>
  <c r="CL48" s="1"/>
  <c r="CW48"/>
  <c r="CT48"/>
  <c r="CQ48"/>
  <c r="CN48"/>
  <c r="CJ49"/>
  <c r="CV49"/>
  <c r="CX49" s="1"/>
  <c r="CS49"/>
  <c r="CP49"/>
  <c r="CR49" s="1"/>
  <c r="CM49"/>
  <c r="CJ50"/>
  <c r="CL50" s="1"/>
  <c r="CV50"/>
  <c r="CS50"/>
  <c r="CU50" s="1"/>
  <c r="CP50"/>
  <c r="CM50"/>
  <c r="CO50" s="1"/>
  <c r="CK51"/>
  <c r="CW51"/>
  <c r="CT51"/>
  <c r="CQ51"/>
  <c r="CN51"/>
  <c r="CK52"/>
  <c r="CL52" s="1"/>
  <c r="CW52"/>
  <c r="CT52"/>
  <c r="CQ52"/>
  <c r="CN52"/>
  <c r="CK53"/>
  <c r="CW53"/>
  <c r="CT53"/>
  <c r="CQ53"/>
  <c r="CN53"/>
  <c r="CK54"/>
  <c r="CL54" s="1"/>
  <c r="CW54"/>
  <c r="CT54"/>
  <c r="CQ54"/>
  <c r="CN54"/>
  <c r="CJ55"/>
  <c r="CV55"/>
  <c r="CX55" s="1"/>
  <c r="CS55"/>
  <c r="CP55"/>
  <c r="CR55" s="1"/>
  <c r="CM55"/>
  <c r="CJ56"/>
  <c r="CL56" s="1"/>
  <c r="CV56"/>
  <c r="CS56"/>
  <c r="CU56" s="1"/>
  <c r="CP56"/>
  <c r="CM56"/>
  <c r="CO56" s="1"/>
  <c r="CJ57"/>
  <c r="CV57"/>
  <c r="CX57" s="1"/>
  <c r="CS57"/>
  <c r="CP57"/>
  <c r="CR57" s="1"/>
  <c r="CM57"/>
  <c r="CK10"/>
  <c r="CW11"/>
  <c r="CQ11"/>
  <c r="CN10"/>
  <c r="CL9"/>
  <c r="CJ6"/>
  <c r="CL14"/>
  <c r="CK6"/>
  <c r="CL36"/>
  <c r="CL19"/>
  <c r="CL37"/>
  <c r="BB25" i="7"/>
  <c r="BE25"/>
  <c r="BH25"/>
  <c r="BK25"/>
  <c r="BN25"/>
  <c r="BQ25"/>
  <c r="BT25"/>
  <c r="BW25"/>
  <c r="BZ25"/>
  <c r="CC25"/>
  <c r="CF25"/>
  <c r="CI28"/>
  <c r="AF29" i="8"/>
  <c r="BD10"/>
  <c r="BG10"/>
  <c r="BJ10"/>
  <c r="BM10"/>
  <c r="BN10" s="1"/>
  <c r="BM14"/>
  <c r="BY14"/>
  <c r="F9" i="3"/>
  <c r="G31" i="8"/>
  <c r="R9" i="3"/>
  <c r="AE31" i="8"/>
  <c r="AG31"/>
  <c r="I31"/>
  <c r="K31"/>
  <c r="M31"/>
  <c r="O31"/>
  <c r="Q31"/>
  <c r="S31"/>
  <c r="U31"/>
  <c r="W31"/>
  <c r="Y31"/>
  <c r="AA31"/>
  <c r="AC31"/>
  <c r="CD48"/>
  <c r="CA50"/>
  <c r="CD51"/>
  <c r="CD54"/>
  <c r="M38"/>
  <c r="M42" s="1"/>
  <c r="M42" i="7"/>
  <c r="M58" s="1"/>
  <c r="F31"/>
  <c r="B18" i="8"/>
  <c r="AV18" s="1"/>
  <c r="B31" i="7"/>
  <c r="K38" i="8"/>
  <c r="H30" i="3" s="1"/>
  <c r="K42" i="7"/>
  <c r="K58" s="1"/>
  <c r="AY7"/>
  <c r="BB7"/>
  <c r="BE7"/>
  <c r="BH7"/>
  <c r="BK7"/>
  <c r="BN7"/>
  <c r="BQ7"/>
  <c r="BT7"/>
  <c r="BW7"/>
  <c r="BZ7"/>
  <c r="CC7"/>
  <c r="CF7"/>
  <c r="AY8"/>
  <c r="BB8"/>
  <c r="BE8"/>
  <c r="BH8"/>
  <c r="BK8"/>
  <c r="BN8"/>
  <c r="BQ8"/>
  <c r="BT8"/>
  <c r="BW8"/>
  <c r="BZ8"/>
  <c r="CC8"/>
  <c r="CF8"/>
  <c r="AY9"/>
  <c r="BB9"/>
  <c r="BE9"/>
  <c r="BH9"/>
  <c r="BK9"/>
  <c r="BN9"/>
  <c r="BQ9"/>
  <c r="BT9"/>
  <c r="BW9"/>
  <c r="BZ9"/>
  <c r="CC9"/>
  <c r="CF9"/>
  <c r="AY10"/>
  <c r="BB10"/>
  <c r="BE10"/>
  <c r="BH10"/>
  <c r="BK10"/>
  <c r="BN10"/>
  <c r="BQ10"/>
  <c r="BT10"/>
  <c r="BW10"/>
  <c r="BZ10"/>
  <c r="CC10"/>
  <c r="CF10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4"/>
  <c r="BB24"/>
  <c r="BE24"/>
  <c r="BB26"/>
  <c r="BE26"/>
  <c r="BV28"/>
  <c r="BW28" s="1"/>
  <c r="E31"/>
  <c r="AH29"/>
  <c r="BP29" s="1"/>
  <c r="BQ29" s="1"/>
  <c r="BH15"/>
  <c r="BK15"/>
  <c r="BN15"/>
  <c r="BQ15"/>
  <c r="BT15"/>
  <c r="BW15"/>
  <c r="BZ15"/>
  <c r="CC15"/>
  <c r="CF15"/>
  <c r="BH16"/>
  <c r="BK16"/>
  <c r="BN16"/>
  <c r="BQ16"/>
  <c r="BT16"/>
  <c r="BW16"/>
  <c r="BZ16"/>
  <c r="CC16"/>
  <c r="CF16"/>
  <c r="BH17"/>
  <c r="BK17"/>
  <c r="BN17"/>
  <c r="BQ17"/>
  <c r="BT17"/>
  <c r="BW17"/>
  <c r="BZ17"/>
  <c r="CC17"/>
  <c r="CF17"/>
  <c r="BH18"/>
  <c r="BK18"/>
  <c r="BN18"/>
  <c r="BQ18"/>
  <c r="BT18"/>
  <c r="BW18"/>
  <c r="BZ18"/>
  <c r="CC18"/>
  <c r="CF18"/>
  <c r="BH19"/>
  <c r="BK19"/>
  <c r="BN19"/>
  <c r="BQ19"/>
  <c r="BT19"/>
  <c r="BW19"/>
  <c r="BZ19"/>
  <c r="CC19"/>
  <c r="CF19"/>
  <c r="BH20"/>
  <c r="BK20"/>
  <c r="BN20"/>
  <c r="BQ20"/>
  <c r="BT20"/>
  <c r="BW20"/>
  <c r="BZ20"/>
  <c r="CC20"/>
  <c r="CF20"/>
  <c r="BH21"/>
  <c r="BK21"/>
  <c r="BN21"/>
  <c r="BQ21"/>
  <c r="BT21"/>
  <c r="BW21"/>
  <c r="BZ21"/>
  <c r="CC21"/>
  <c r="CF21"/>
  <c r="BH22"/>
  <c r="BK22"/>
  <c r="BN22"/>
  <c r="BQ22"/>
  <c r="BT22"/>
  <c r="BW22"/>
  <c r="BZ22"/>
  <c r="CC22"/>
  <c r="CF22"/>
  <c r="BH23"/>
  <c r="BK23"/>
  <c r="BN23"/>
  <c r="BQ23"/>
  <c r="BT23"/>
  <c r="BW23"/>
  <c r="BZ23"/>
  <c r="CC23"/>
  <c r="CF23"/>
  <c r="BH24"/>
  <c r="BK24"/>
  <c r="BN24"/>
  <c r="BQ24"/>
  <c r="BT24"/>
  <c r="BW24"/>
  <c r="BZ24"/>
  <c r="CC24"/>
  <c r="CF24"/>
  <c r="BH26"/>
  <c r="BK26"/>
  <c r="BN26"/>
  <c r="BQ26"/>
  <c r="BT26"/>
  <c r="BW26"/>
  <c r="BZ26"/>
  <c r="CC26"/>
  <c r="CF26"/>
  <c r="CG7" i="8"/>
  <c r="CG8"/>
  <c r="CG9"/>
  <c r="CG15"/>
  <c r="CG16"/>
  <c r="CG17"/>
  <c r="CH18"/>
  <c r="U13" i="2" s="1"/>
  <c r="CH19" i="8"/>
  <c r="U14" i="2" s="1"/>
  <c r="CH20" i="8"/>
  <c r="U15" i="2" s="1"/>
  <c r="CG21" i="8"/>
  <c r="CG22"/>
  <c r="CG23"/>
  <c r="CG24"/>
  <c r="AG42"/>
  <c r="CG37"/>
  <c r="CG38"/>
  <c r="CG39"/>
  <c r="CG40"/>
  <c r="CG44"/>
  <c r="S36" i="3"/>
  <c r="CG47" i="8"/>
  <c r="CH48"/>
  <c r="CG49"/>
  <c r="CG50"/>
  <c r="CH51"/>
  <c r="CH52"/>
  <c r="CH53"/>
  <c r="CH54"/>
  <c r="CG55"/>
  <c r="CG56"/>
  <c r="CG57"/>
  <c r="CH7"/>
  <c r="CH8"/>
  <c r="CH9"/>
  <c r="CH10"/>
  <c r="CH15"/>
  <c r="U10" i="2" s="1"/>
  <c r="CH16" i="8"/>
  <c r="U11" i="2" s="1"/>
  <c r="CH17" i="8"/>
  <c r="U12" i="2" s="1"/>
  <c r="CG18" i="8"/>
  <c r="CG19"/>
  <c r="CG20"/>
  <c r="CH21"/>
  <c r="U16" i="2" s="1"/>
  <c r="CH22" i="8"/>
  <c r="U17" i="2" s="1"/>
  <c r="CH23" i="8"/>
  <c r="U18" i="2" s="1"/>
  <c r="CH24" i="8"/>
  <c r="U19" i="2" s="1"/>
  <c r="AH42" i="8"/>
  <c r="CH37"/>
  <c r="U32" i="2" s="1"/>
  <c r="CH38" i="8"/>
  <c r="U33" i="2" s="1"/>
  <c r="CH39" i="8"/>
  <c r="U34" i="2" s="1"/>
  <c r="CH40" i="8"/>
  <c r="U35" i="2" s="1"/>
  <c r="CH44" i="8"/>
  <c r="CG48"/>
  <c r="CH49"/>
  <c r="CH50"/>
  <c r="CG51"/>
  <c r="CG52"/>
  <c r="CI52" s="1"/>
  <c r="CG53"/>
  <c r="CG54"/>
  <c r="CH55"/>
  <c r="CH56"/>
  <c r="CH57"/>
  <c r="BA7"/>
  <c r="BB7" s="1"/>
  <c r="BD7"/>
  <c r="BG7"/>
  <c r="BJ7"/>
  <c r="AH29"/>
  <c r="E55"/>
  <c r="CE18"/>
  <c r="S13" i="3"/>
  <c r="CE19" i="8"/>
  <c r="S14" i="3"/>
  <c r="CE20" i="8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S28" i="3"/>
  <c r="CE37" i="8"/>
  <c r="S29" i="3"/>
  <c r="CE38" i="8"/>
  <c r="S30" i="3"/>
  <c r="CE39" i="8"/>
  <c r="S31" i="3"/>
  <c r="CE40" i="8"/>
  <c r="S32" i="3"/>
  <c r="F7" i="8"/>
  <c r="AX7"/>
  <c r="CD52"/>
  <c r="BP10"/>
  <c r="BS10"/>
  <c r="BT10" s="1"/>
  <c r="BV10"/>
  <c r="BY10"/>
  <c r="CB10"/>
  <c r="F9"/>
  <c r="AX9"/>
  <c r="BA9"/>
  <c r="CD18"/>
  <c r="Q13" i="2" s="1"/>
  <c r="R13" i="3"/>
  <c r="CD19" i="8"/>
  <c r="Q14" i="2" s="1"/>
  <c r="R14" i="3"/>
  <c r="CD20" i="8"/>
  <c r="Q15" i="2" s="1"/>
  <c r="R15" i="3"/>
  <c r="AE59" i="8"/>
  <c r="AC16" i="20" s="1"/>
  <c r="AC12" s="1"/>
  <c r="AC17" s="1"/>
  <c r="BS7" i="8"/>
  <c r="F8"/>
  <c r="AX8"/>
  <c r="BA8"/>
  <c r="F38"/>
  <c r="AX38"/>
  <c r="K59"/>
  <c r="I16" i="20" s="1"/>
  <c r="I12" s="1"/>
  <c r="I17" s="1"/>
  <c r="O59" i="8"/>
  <c r="M16" i="20" s="1"/>
  <c r="M12" s="1"/>
  <c r="M17" s="1"/>
  <c r="S59" i="8"/>
  <c r="Q16" i="20" s="1"/>
  <c r="Q12" s="1"/>
  <c r="Q17" s="1"/>
  <c r="W59" i="8"/>
  <c r="U16" i="20" s="1"/>
  <c r="U12" s="1"/>
  <c r="U17" s="1"/>
  <c r="CD49" i="8"/>
  <c r="CD50"/>
  <c r="CD55"/>
  <c r="E56"/>
  <c r="CD56"/>
  <c r="BG28" i="7"/>
  <c r="BH28" s="1"/>
  <c r="BS28"/>
  <c r="BT28" s="1"/>
  <c r="BY28"/>
  <c r="BZ28" s="1"/>
  <c r="BS29"/>
  <c r="BT29" s="1"/>
  <c r="BM29"/>
  <c r="BN29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AE61" s="1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F29" i="7"/>
  <c r="BP28"/>
  <c r="BQ28" s="1"/>
  <c r="BJ28"/>
  <c r="BK28" s="1"/>
  <c r="CB28"/>
  <c r="CC28" s="1"/>
  <c r="BJ29"/>
  <c r="BK29" s="1"/>
  <c r="BM28"/>
  <c r="BN28" s="1"/>
  <c r="BD28"/>
  <c r="BE28" s="1"/>
  <c r="CE28"/>
  <c r="AA59" i="8"/>
  <c r="Y16" i="20" s="1"/>
  <c r="Y12" s="1"/>
  <c r="Y17" s="1"/>
  <c r="E46" i="8"/>
  <c r="F28" i="7"/>
  <c r="BG14" i="8"/>
  <c r="BP16"/>
  <c r="BS16"/>
  <c r="BV16"/>
  <c r="BY16"/>
  <c r="Y171" i="23"/>
  <c r="T172"/>
  <c r="Y171" i="22"/>
  <c r="T172"/>
  <c r="S60" i="7"/>
  <c r="W60"/>
  <c r="BC33"/>
  <c r="O60"/>
  <c r="F14" i="8"/>
  <c r="BA14"/>
  <c r="F10" i="20"/>
  <c r="J10"/>
  <c r="P10"/>
  <c r="R10"/>
  <c r="T10"/>
  <c r="V10"/>
  <c r="X10"/>
  <c r="Z10"/>
  <c r="AB10"/>
  <c r="AD10"/>
  <c r="F44" i="8"/>
  <c r="F22" i="20"/>
  <c r="F18" s="1"/>
  <c r="F23" s="1"/>
  <c r="H59" i="8"/>
  <c r="H61" s="1"/>
  <c r="AX44"/>
  <c r="H22" i="20"/>
  <c r="H18" s="1"/>
  <c r="H23" s="1"/>
  <c r="BA44" i="8"/>
  <c r="J22" i="20"/>
  <c r="J18" s="1"/>
  <c r="J23" s="1"/>
  <c r="BD44" i="8"/>
  <c r="L22" i="20"/>
  <c r="L18" s="1"/>
  <c r="L23" s="1"/>
  <c r="BG44" i="8"/>
  <c r="N22" i="20"/>
  <c r="N18" s="1"/>
  <c r="N23" s="1"/>
  <c r="BJ44" i="8"/>
  <c r="P22" i="20"/>
  <c r="P18" s="1"/>
  <c r="P23" s="1"/>
  <c r="BM44" i="8"/>
  <c r="R22" i="20"/>
  <c r="R18" s="1"/>
  <c r="R23" s="1"/>
  <c r="BP44" i="8"/>
  <c r="T22" i="20"/>
  <c r="T18" s="1"/>
  <c r="T23" s="1"/>
  <c r="BS44" i="8"/>
  <c r="V22" i="20"/>
  <c r="V18" s="1"/>
  <c r="V23" s="1"/>
  <c r="BV44" i="8"/>
  <c r="X22" i="20"/>
  <c r="X18" s="1"/>
  <c r="X23" s="1"/>
  <c r="BY44" i="8"/>
  <c r="Z22" i="20"/>
  <c r="Z18" s="1"/>
  <c r="Z23" s="1"/>
  <c r="CB44" i="8"/>
  <c r="AB22" i="20"/>
  <c r="AB18" s="1"/>
  <c r="AB23" s="1"/>
  <c r="CE44" i="8"/>
  <c r="AD22" i="20"/>
  <c r="AD18" s="1"/>
  <c r="AD23" s="1"/>
  <c r="G36" i="3"/>
  <c r="I59" i="8"/>
  <c r="G16" i="20" s="1"/>
  <c r="G12" s="1"/>
  <c r="G17" s="1"/>
  <c r="AY7" i="8"/>
  <c r="BE7"/>
  <c r="BW7"/>
  <c r="BZ7"/>
  <c r="CC7"/>
  <c r="CI7"/>
  <c r="AY8"/>
  <c r="BB8"/>
  <c r="BE8"/>
  <c r="BK8"/>
  <c r="BQ8"/>
  <c r="BW8"/>
  <c r="CC8"/>
  <c r="CI8"/>
  <c r="I61"/>
  <c r="G10" i="20"/>
  <c r="M10"/>
  <c r="O10"/>
  <c r="S61" i="8"/>
  <c r="Q10" i="20"/>
  <c r="S10"/>
  <c r="U10"/>
  <c r="W10"/>
  <c r="Y10"/>
  <c r="AA10"/>
  <c r="CD44" i="8"/>
  <c r="AC22" i="20"/>
  <c r="AC18" s="1"/>
  <c r="AC23" s="1"/>
  <c r="CG46" i="8"/>
  <c r="R38" i="2" s="1"/>
  <c r="AG59" i="8"/>
  <c r="J59"/>
  <c r="H16" i="20" s="1"/>
  <c r="H12" s="1"/>
  <c r="H17" s="1"/>
  <c r="M59" i="8"/>
  <c r="K16" i="20" s="1"/>
  <c r="K12" s="1"/>
  <c r="K17" s="1"/>
  <c r="Q59" i="8"/>
  <c r="O16" i="20" s="1"/>
  <c r="O12" s="1"/>
  <c r="O17" s="1"/>
  <c r="U59" i="8"/>
  <c r="S16" i="20" s="1"/>
  <c r="S12" s="1"/>
  <c r="S17" s="1"/>
  <c r="Y59" i="8"/>
  <c r="W16" i="20" s="1"/>
  <c r="W12" s="1"/>
  <c r="W17" s="1"/>
  <c r="AC59" i="8"/>
  <c r="AA16" i="20" s="1"/>
  <c r="AA12" s="1"/>
  <c r="AA17" s="1"/>
  <c r="G59" i="8"/>
  <c r="BD15"/>
  <c r="BG15"/>
  <c r="BJ15"/>
  <c r="CA55"/>
  <c r="J42"/>
  <c r="N42"/>
  <c r="P42"/>
  <c r="BS14"/>
  <c r="AX15"/>
  <c r="BX46"/>
  <c r="O38" i="2" s="1"/>
  <c r="CD46" i="8"/>
  <c r="Q38" i="2" s="1"/>
  <c r="BX47" i="8"/>
  <c r="CD47"/>
  <c r="Q39" i="2" s="1"/>
  <c r="BI48" i="8"/>
  <c r="CA48"/>
  <c r="CA51"/>
  <c r="F28" i="3"/>
  <c r="G42" i="8"/>
  <c r="I28" i="3"/>
  <c r="K42" i="8"/>
  <c r="BD16"/>
  <c r="CC57"/>
  <c r="CF57"/>
  <c r="CI57"/>
  <c r="F15"/>
  <c r="F16"/>
  <c r="AX17"/>
  <c r="BA17"/>
  <c r="CA49"/>
  <c r="BF58" i="7"/>
  <c r="BF60" s="1"/>
  <c r="BL58"/>
  <c r="BL60" s="1"/>
  <c r="CD58"/>
  <c r="I59"/>
  <c r="F17" i="8"/>
  <c r="E1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I14"/>
  <c r="I14" i="2"/>
  <c r="J14" i="3"/>
  <c r="J14" i="2"/>
  <c r="K14" i="3"/>
  <c r="K14" i="2"/>
  <c r="L14" i="3"/>
  <c r="L14" i="2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I15" i="2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/>
  <c r="AZ46" i="8"/>
  <c r="G38" i="2" s="1"/>
  <c r="H36" i="3"/>
  <c r="BF46" i="8"/>
  <c r="I38" i="2" s="1"/>
  <c r="J36" i="3"/>
  <c r="BL46" i="8"/>
  <c r="K38" i="2" s="1"/>
  <c r="L36" i="3"/>
  <c r="BR46" i="8"/>
  <c r="M38" i="2" s="1"/>
  <c r="BC38" i="8"/>
  <c r="G9" i="20"/>
  <c r="G9" i="3"/>
  <c r="I9" i="20"/>
  <c r="H9" i="3"/>
  <c r="K9" i="20"/>
  <c r="I9" i="3"/>
  <c r="M9" i="20"/>
  <c r="J9" i="3"/>
  <c r="O9" i="20"/>
  <c r="K9" i="3"/>
  <c r="Q9" i="20"/>
  <c r="L9" i="3"/>
  <c r="S9" i="20"/>
  <c r="M9" i="3"/>
  <c r="U9" i="20"/>
  <c r="N9" i="3"/>
  <c r="W9" i="20"/>
  <c r="O9" i="3"/>
  <c r="Y9" i="20"/>
  <c r="P9" i="3"/>
  <c r="AA9" i="20"/>
  <c r="Q9" i="3"/>
  <c r="E15" i="8"/>
  <c r="F10" i="3"/>
  <c r="AW15" i="8"/>
  <c r="AY15" s="1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20"/>
  <c r="G28" i="3"/>
  <c r="AZ36" i="8"/>
  <c r="G31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6" i="2" s="1"/>
  <c r="G34" i="3"/>
  <c r="AZ44" i="8"/>
  <c r="G36" i="2" s="1"/>
  <c r="H34" i="3"/>
  <c r="BC44" i="8"/>
  <c r="H36" i="2" s="1"/>
  <c r="I34" i="3"/>
  <c r="BF44" i="8"/>
  <c r="I36" i="2" s="1"/>
  <c r="J34" i="3"/>
  <c r="BI44" i="8"/>
  <c r="J36" i="2" s="1"/>
  <c r="K34" i="3"/>
  <c r="BL44" i="8"/>
  <c r="K36" i="2" s="1"/>
  <c r="L34" i="3"/>
  <c r="BO44" i="8"/>
  <c r="L36" i="2" s="1"/>
  <c r="M34" i="3"/>
  <c r="BR44" i="8"/>
  <c r="M36" i="2" s="1"/>
  <c r="N34" i="3"/>
  <c r="BU44" i="8"/>
  <c r="N36" i="2" s="1"/>
  <c r="O34" i="3"/>
  <c r="BX44" i="8"/>
  <c r="O36" i="2" s="1"/>
  <c r="P34" i="3"/>
  <c r="CA44" i="8"/>
  <c r="P36" i="2" s="1"/>
  <c r="Q34" i="3"/>
  <c r="J60" i="7"/>
  <c r="J61" s="1"/>
  <c r="I32"/>
  <c r="C31" i="8"/>
  <c r="AC9" i="20"/>
  <c r="C61" i="8"/>
  <c r="C62" s="1"/>
  <c r="I36" i="3"/>
  <c r="K36"/>
  <c r="M36"/>
  <c r="CI55" i="8"/>
  <c r="H61" i="7"/>
  <c r="D61"/>
  <c r="C59"/>
  <c r="CA54" i="8"/>
  <c r="Q36" i="3"/>
  <c r="BI7" i="8"/>
  <c r="BK7" s="1"/>
  <c r="BL7"/>
  <c r="BN7" s="1"/>
  <c r="BO7"/>
  <c r="BQ7" s="1"/>
  <c r="BR7"/>
  <c r="BT7" s="1"/>
  <c r="B11"/>
  <c r="D11"/>
  <c r="J11"/>
  <c r="L11"/>
  <c r="N11"/>
  <c r="P11"/>
  <c r="R11"/>
  <c r="T11"/>
  <c r="V11"/>
  <c r="X11"/>
  <c r="Z11"/>
  <c r="AB11"/>
  <c r="AD11"/>
  <c r="AF11"/>
  <c r="AH11"/>
  <c r="CA52"/>
  <c r="E53"/>
  <c r="CA53"/>
  <c r="AY36" i="7"/>
  <c r="BE36"/>
  <c r="BK36"/>
  <c r="BQ36"/>
  <c r="BW36"/>
  <c r="CC36"/>
  <c r="AY18" i="8"/>
  <c r="BE18"/>
  <c r="BK18"/>
  <c r="BQ18"/>
  <c r="CC18"/>
  <c r="BZ19"/>
  <c r="BH38" i="7"/>
  <c r="BK38"/>
  <c r="BN38"/>
  <c r="BQ38"/>
  <c r="BT38"/>
  <c r="BW38"/>
  <c r="BZ38"/>
  <c r="CC38"/>
  <c r="CF38"/>
  <c r="AY39"/>
  <c r="BB39"/>
  <c r="BE39"/>
  <c r="BH39"/>
  <c r="BK39"/>
  <c r="BN39"/>
  <c r="BQ39"/>
  <c r="BT39"/>
  <c r="BW39"/>
  <c r="BZ39"/>
  <c r="CC39"/>
  <c r="CF39"/>
  <c r="AY40"/>
  <c r="BB40"/>
  <c r="BE40"/>
  <c r="BH40"/>
  <c r="BK40"/>
  <c r="BN40"/>
  <c r="BQ40"/>
  <c r="BT40"/>
  <c r="BW40"/>
  <c r="BZ40"/>
  <c r="CC40"/>
  <c r="CF40"/>
  <c r="AY44"/>
  <c r="BB44"/>
  <c r="BE44"/>
  <c r="BH44"/>
  <c r="BK44"/>
  <c r="BN44"/>
  <c r="BQ44"/>
  <c r="BT44"/>
  <c r="BW44"/>
  <c r="BZ44"/>
  <c r="CC44"/>
  <c r="CF44"/>
  <c r="BZ8" i="8"/>
  <c r="BO48"/>
  <c r="BU48"/>
  <c r="BX49"/>
  <c r="E50"/>
  <c r="BX50"/>
  <c r="E51"/>
  <c r="BO51"/>
  <c r="BM6"/>
  <c r="BN8"/>
  <c r="C11"/>
  <c r="I11"/>
  <c r="I63" s="1"/>
  <c r="M11"/>
  <c r="I26" i="3" s="1"/>
  <c r="K59" i="1" s="1"/>
  <c r="Q11" i="8"/>
  <c r="K26" i="3" s="1"/>
  <c r="M59" i="1" s="1"/>
  <c r="U11" i="8"/>
  <c r="M26" i="3" s="1"/>
  <c r="O59" i="1" s="1"/>
  <c r="Y11" i="8"/>
  <c r="O26" i="3" s="1"/>
  <c r="Q59" i="1" s="1"/>
  <c r="AC11" i="8"/>
  <c r="Q26" i="3" s="1"/>
  <c r="S59" i="1" s="1"/>
  <c r="AG11" i="8"/>
  <c r="S26" i="3" s="1"/>
  <c r="BG6" i="8"/>
  <c r="CE6"/>
  <c r="CE11" s="1"/>
  <c r="AY9"/>
  <c r="BB9"/>
  <c r="BE9"/>
  <c r="BK9"/>
  <c r="BN9"/>
  <c r="BQ9"/>
  <c r="BW9"/>
  <c r="BZ9"/>
  <c r="CC9"/>
  <c r="CI9"/>
  <c r="AY10"/>
  <c r="BB10"/>
  <c r="BE10"/>
  <c r="BK10"/>
  <c r="BQ10"/>
  <c r="BW10"/>
  <c r="BZ10"/>
  <c r="CC10"/>
  <c r="CI10"/>
  <c r="CF53"/>
  <c r="CI53"/>
  <c r="AX16"/>
  <c r="AY16" s="1"/>
  <c r="BA16"/>
  <c r="CF40"/>
  <c r="S35" i="2" s="1"/>
  <c r="CI44" i="8"/>
  <c r="G11"/>
  <c r="E6"/>
  <c r="E11" s="1"/>
  <c r="F36"/>
  <c r="AW6"/>
  <c r="AW11" s="1"/>
  <c r="BU6"/>
  <c r="BU11" s="1"/>
  <c r="BH8"/>
  <c r="BT8"/>
  <c r="CF8"/>
  <c r="BH10"/>
  <c r="CF10"/>
  <c r="BB19"/>
  <c r="BH19"/>
  <c r="BN19"/>
  <c r="BT19"/>
  <c r="BC46"/>
  <c r="H38" i="2" s="1"/>
  <c r="BI46" i="8"/>
  <c r="J38" i="2" s="1"/>
  <c r="BO46" i="8"/>
  <c r="L38" i="2" s="1"/>
  <c r="BU46" i="8"/>
  <c r="N38" i="2" s="1"/>
  <c r="CA46" i="8"/>
  <c r="P38" i="2" s="1"/>
  <c r="E47" i="8"/>
  <c r="BC47"/>
  <c r="H39" i="2" s="1"/>
  <c r="BI47" i="8"/>
  <c r="BO47"/>
  <c r="BU47"/>
  <c r="CA47"/>
  <c r="E48"/>
  <c r="BX48"/>
  <c r="E49"/>
  <c r="BU49"/>
  <c r="BO50"/>
  <c r="BU50"/>
  <c r="BX51"/>
  <c r="E52"/>
  <c r="BR52"/>
  <c r="BX52"/>
  <c r="BX53"/>
  <c r="E54"/>
  <c r="H11"/>
  <c r="F6"/>
  <c r="F11" s="1"/>
  <c r="E9" i="20"/>
  <c r="E26" s="1"/>
  <c r="E14" i="8"/>
  <c r="F10" i="2"/>
  <c r="E36" i="8"/>
  <c r="BA6"/>
  <c r="BA11" s="1"/>
  <c r="BI6"/>
  <c r="BS6"/>
  <c r="BS11" s="1"/>
  <c r="BY6"/>
  <c r="CG6"/>
  <c r="CG11" s="1"/>
  <c r="BK15"/>
  <c r="BW15"/>
  <c r="CI15"/>
  <c r="BH16"/>
  <c r="BN16"/>
  <c r="BT16"/>
  <c r="CF16"/>
  <c r="S11" i="2" s="1"/>
  <c r="CI21" i="8"/>
  <c r="CI22"/>
  <c r="CF23"/>
  <c r="S18" i="2" s="1"/>
  <c r="CF24" i="8"/>
  <c r="S19" i="2" s="1"/>
  <c r="CI24" i="8"/>
  <c r="BB25"/>
  <c r="BH25"/>
  <c r="BN25"/>
  <c r="BT25"/>
  <c r="BZ25"/>
  <c r="CC25"/>
  <c r="CF25"/>
  <c r="CI25"/>
  <c r="E38"/>
  <c r="BA38"/>
  <c r="CF38"/>
  <c r="S33" i="2" s="1"/>
  <c r="CF39" i="8"/>
  <c r="S34" i="2" s="1"/>
  <c r="CI39" i="8"/>
  <c r="BX54"/>
  <c r="BU53"/>
  <c r="BR58" i="7"/>
  <c r="BR60" s="1"/>
  <c r="BX58"/>
  <c r="BX60" s="1"/>
  <c r="BU52" i="8"/>
  <c r="BU51"/>
  <c r="BR51"/>
  <c r="BL50"/>
  <c r="BR50"/>
  <c r="BL49"/>
  <c r="BR49"/>
  <c r="BO49"/>
  <c r="BI49"/>
  <c r="BF48"/>
  <c r="BL48"/>
  <c r="BR48"/>
  <c r="BF47"/>
  <c r="I39" i="2" s="1"/>
  <c r="BL47" i="8"/>
  <c r="BR47"/>
  <c r="M39" i="2" s="1"/>
  <c r="D123" i="13"/>
  <c r="D124" s="1"/>
  <c r="D122"/>
  <c r="D121"/>
  <c r="D120"/>
  <c r="D119"/>
  <c r="D118"/>
  <c r="D117"/>
  <c r="D116"/>
  <c r="D115"/>
  <c r="D114"/>
  <c r="D113"/>
  <c r="T124"/>
  <c r="Y135" s="1"/>
  <c r="AF50" i="7" s="1"/>
  <c r="CI48" i="8"/>
  <c r="CF53" i="7"/>
  <c r="CI49" i="8"/>
  <c r="CI51"/>
  <c r="CI54"/>
  <c r="G59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BI33"/>
  <c r="BO33"/>
  <c r="BU33"/>
  <c r="CD60"/>
  <c r="CD33"/>
  <c r="AW33"/>
  <c r="BF33"/>
  <c r="BL33"/>
  <c r="BR33"/>
  <c r="BX33"/>
  <c r="CA33"/>
  <c r="K11" i="8"/>
  <c r="H26" i="3" s="1"/>
  <c r="AZ6" i="8"/>
  <c r="O11"/>
  <c r="BF6"/>
  <c r="S11"/>
  <c r="BL6"/>
  <c r="W11"/>
  <c r="BR6"/>
  <c r="AA11"/>
  <c r="P26" i="3" s="1"/>
  <c r="R59" i="1" s="1"/>
  <c r="BX6" i="8"/>
  <c r="AE11"/>
  <c r="R26" i="3" s="1"/>
  <c r="CD6" i="8"/>
  <c r="BB6" i="7"/>
  <c r="BB11" s="1"/>
  <c r="BH6"/>
  <c r="BN6"/>
  <c r="BN11" s="1"/>
  <c r="BT6"/>
  <c r="BZ6"/>
  <c r="BZ11" s="1"/>
  <c r="CF6"/>
  <c r="C12"/>
  <c r="G12"/>
  <c r="K12"/>
  <c r="O12"/>
  <c r="S12"/>
  <c r="W12"/>
  <c r="AA12"/>
  <c r="AE12"/>
  <c r="AY14"/>
  <c r="AY31" s="1"/>
  <c r="BE14"/>
  <c r="BK14"/>
  <c r="BQ14"/>
  <c r="BW14"/>
  <c r="CC14"/>
  <c r="AV18"/>
  <c r="AV21"/>
  <c r="D33"/>
  <c r="H33"/>
  <c r="J33"/>
  <c r="BB36"/>
  <c r="BH36"/>
  <c r="BN36"/>
  <c r="BT36"/>
  <c r="BZ36"/>
  <c r="CF36"/>
  <c r="E38"/>
  <c r="E58" s="1"/>
  <c r="AW38"/>
  <c r="AY38" s="1"/>
  <c r="BC38"/>
  <c r="BE38" s="1"/>
  <c r="BC58"/>
  <c r="BC60" s="1"/>
  <c r="BI58"/>
  <c r="BI60" s="1"/>
  <c r="BO58"/>
  <c r="BO60" s="1"/>
  <c r="BU58"/>
  <c r="BU60" s="1"/>
  <c r="CA58"/>
  <c r="CA60" s="1"/>
  <c r="BC6" i="8"/>
  <c r="BO6"/>
  <c r="CA6"/>
  <c r="BH7"/>
  <c r="CF7"/>
  <c r="BH9"/>
  <c r="BT9"/>
  <c r="CF9"/>
  <c r="BT15"/>
  <c r="BH17"/>
  <c r="CF17"/>
  <c r="S12" i="2" s="1"/>
  <c r="BH18" i="8"/>
  <c r="BT18"/>
  <c r="BH20"/>
  <c r="BT20"/>
  <c r="CF20"/>
  <c r="S15" i="2" s="1"/>
  <c r="AY6" i="7"/>
  <c r="AY11" s="1"/>
  <c r="BE6"/>
  <c r="BE11" s="1"/>
  <c r="BK6"/>
  <c r="BK11" s="1"/>
  <c r="BQ6"/>
  <c r="BQ11" s="1"/>
  <c r="BW6"/>
  <c r="BW11" s="1"/>
  <c r="CC6"/>
  <c r="CC11" s="1"/>
  <c r="I12"/>
  <c r="M12"/>
  <c r="Q12"/>
  <c r="U12"/>
  <c r="Y12"/>
  <c r="AC12"/>
  <c r="AG12"/>
  <c r="BB14"/>
  <c r="BH14"/>
  <c r="BN14"/>
  <c r="BT14"/>
  <c r="BZ14"/>
  <c r="CF14"/>
  <c r="C33"/>
  <c r="C34" s="1"/>
  <c r="G33"/>
  <c r="G34" s="1"/>
  <c r="I33"/>
  <c r="M33"/>
  <c r="O33"/>
  <c r="Q33"/>
  <c r="S33"/>
  <c r="U33"/>
  <c r="W33"/>
  <c r="Y33"/>
  <c r="AA33"/>
  <c r="AC33"/>
  <c r="AE33"/>
  <c r="AG33"/>
  <c r="AZ38"/>
  <c r="BB38" s="1"/>
  <c r="BB15" i="8"/>
  <c r="CC16"/>
  <c r="CI16"/>
  <c r="AY17"/>
  <c r="BK17"/>
  <c r="BW17"/>
  <c r="CI17"/>
  <c r="BN17"/>
  <c r="CI18"/>
  <c r="BB18"/>
  <c r="BN18"/>
  <c r="BZ18"/>
  <c r="AY19"/>
  <c r="BE19"/>
  <c r="BK19"/>
  <c r="BQ19"/>
  <c r="BW19"/>
  <c r="CC19"/>
  <c r="CI19"/>
  <c r="AY20"/>
  <c r="BE20"/>
  <c r="BK20"/>
  <c r="BQ20"/>
  <c r="BW20"/>
  <c r="CC20"/>
  <c r="CI20"/>
  <c r="BB20"/>
  <c r="BN20"/>
  <c r="BZ20"/>
  <c r="BT22"/>
  <c r="AV6"/>
  <c r="AV11" s="1"/>
  <c r="AX6"/>
  <c r="AX11" s="1"/>
  <c r="BD6"/>
  <c r="BD11" s="1"/>
  <c r="BJ6"/>
  <c r="BJ11" s="1"/>
  <c r="BP6"/>
  <c r="BP11" s="1"/>
  <c r="BV6"/>
  <c r="BV11" s="1"/>
  <c r="CB6"/>
  <c r="CB11" s="1"/>
  <c r="CH6"/>
  <c r="B31"/>
  <c r="D31"/>
  <c r="AV14"/>
  <c r="AV31" s="1"/>
  <c r="AX14"/>
  <c r="AZ14"/>
  <c r="BD14"/>
  <c r="BF14"/>
  <c r="BJ14"/>
  <c r="BL14"/>
  <c r="BP14"/>
  <c r="BR14"/>
  <c r="BV14"/>
  <c r="BX14"/>
  <c r="CB14"/>
  <c r="CD14"/>
  <c r="CH14"/>
  <c r="AY26"/>
  <c r="BB26"/>
  <c r="BE26"/>
  <c r="BH26"/>
  <c r="BK26"/>
  <c r="BN26"/>
  <c r="BQ26"/>
  <c r="BT26"/>
  <c r="BW26"/>
  <c r="BZ26"/>
  <c r="CC26"/>
  <c r="CF26"/>
  <c r="CI26"/>
  <c r="BH37"/>
  <c r="CF37"/>
  <c r="S32" i="2" s="1"/>
  <c r="CI37" i="8"/>
  <c r="AW14"/>
  <c r="BC14"/>
  <c r="BI14"/>
  <c r="BO14"/>
  <c r="BU14"/>
  <c r="CA14"/>
  <c r="CG14"/>
  <c r="T9" i="2" s="1"/>
  <c r="AY25" i="8"/>
  <c r="BE25"/>
  <c r="BK25"/>
  <c r="BQ25"/>
  <c r="BW25"/>
  <c r="AW38"/>
  <c r="AV36"/>
  <c r="AV61" s="1"/>
  <c r="AX36"/>
  <c r="AX61" s="1"/>
  <c r="BD36"/>
  <c r="BF36"/>
  <c r="I31" i="2" s="1"/>
  <c r="I30" s="1"/>
  <c r="BJ36" i="8"/>
  <c r="BL36"/>
  <c r="K31" i="2" s="1"/>
  <c r="BP36" i="8"/>
  <c r="BR36"/>
  <c r="M31" i="2" s="1"/>
  <c r="M30" s="1"/>
  <c r="BV36" i="8"/>
  <c r="BX36"/>
  <c r="O31" i="2" s="1"/>
  <c r="CB36" i="8"/>
  <c r="CD36"/>
  <c r="Q31" i="2" s="1"/>
  <c r="Q30" s="1"/>
  <c r="CH36" i="8"/>
  <c r="U31" i="2" s="1"/>
  <c r="BE44" i="8"/>
  <c r="AW36"/>
  <c r="F31" i="2" s="1"/>
  <c r="BA36" i="8"/>
  <c r="BC36"/>
  <c r="H31" i="2" s="1"/>
  <c r="BG36" i="8"/>
  <c r="BI36"/>
  <c r="J31" i="2" s="1"/>
  <c r="BM36" i="8"/>
  <c r="BO36"/>
  <c r="L31" i="2" s="1"/>
  <c r="BS36" i="8"/>
  <c r="BU36"/>
  <c r="N31" i="2" s="1"/>
  <c r="BY36" i="8"/>
  <c r="CA36"/>
  <c r="P31" i="2" s="1"/>
  <c r="CE36" i="8"/>
  <c r="CG36"/>
  <c r="AY40"/>
  <c r="CI40"/>
  <c r="P39" i="2" l="1"/>
  <c r="L39"/>
  <c r="AC10" i="20"/>
  <c r="AC28" s="1"/>
  <c r="R31" i="2"/>
  <c r="T31"/>
  <c r="R15"/>
  <c r="T15"/>
  <c r="R13"/>
  <c r="T13"/>
  <c r="R34"/>
  <c r="T34"/>
  <c r="R32"/>
  <c r="T32"/>
  <c r="R19"/>
  <c r="T19"/>
  <c r="R17"/>
  <c r="T17"/>
  <c r="R11"/>
  <c r="T11"/>
  <c r="BT37" i="8"/>
  <c r="K39" i="2"/>
  <c r="K30" s="1"/>
  <c r="BQ21" i="8"/>
  <c r="N39" i="2"/>
  <c r="J39"/>
  <c r="BW18" i="8"/>
  <c r="O39" i="2"/>
  <c r="R39"/>
  <c r="T39"/>
  <c r="S39"/>
  <c r="R14"/>
  <c r="T14"/>
  <c r="R35"/>
  <c r="T35"/>
  <c r="R33"/>
  <c r="T33"/>
  <c r="R18"/>
  <c r="T18"/>
  <c r="R16"/>
  <c r="T16"/>
  <c r="R12"/>
  <c r="T12"/>
  <c r="R10"/>
  <c r="T10"/>
  <c r="O30"/>
  <c r="T8"/>
  <c r="U39"/>
  <c r="P30"/>
  <c r="N30"/>
  <c r="L30"/>
  <c r="J30"/>
  <c r="BZ37" i="8"/>
  <c r="BN37"/>
  <c r="BB37"/>
  <c r="BH24"/>
  <c r="CC21"/>
  <c r="BE21"/>
  <c r="D34" i="3"/>
  <c r="CF19" i="8"/>
  <c r="S14" i="2" s="1"/>
  <c r="CF18" i="8"/>
  <c r="S13" i="2" s="1"/>
  <c r="BK40" i="8"/>
  <c r="CF44"/>
  <c r="CF22"/>
  <c r="S17" i="2" s="1"/>
  <c r="CF21" i="8"/>
  <c r="S16" i="2" s="1"/>
  <c r="CF15" i="8"/>
  <c r="S10" i="2" s="1"/>
  <c r="CI56" i="8"/>
  <c r="CI50"/>
  <c r="CJ61"/>
  <c r="CJ31"/>
  <c r="CL57"/>
  <c r="CL55"/>
  <c r="CL53"/>
  <c r="CL51"/>
  <c r="CL49"/>
  <c r="BW40"/>
  <c r="BE40"/>
  <c r="CC37"/>
  <c r="BW37"/>
  <c r="BQ37"/>
  <c r="BK37"/>
  <c r="BE37"/>
  <c r="AY37"/>
  <c r="CH11"/>
  <c r="BT24"/>
  <c r="BH22"/>
  <c r="BZ17"/>
  <c r="BB17"/>
  <c r="CC17"/>
  <c r="BQ17"/>
  <c r="BE17"/>
  <c r="BW16"/>
  <c r="BB24"/>
  <c r="BT17"/>
  <c r="BH15"/>
  <c r="AZ38"/>
  <c r="CI38"/>
  <c r="CI23"/>
  <c r="BW21"/>
  <c r="BK21"/>
  <c r="AY21"/>
  <c r="BZ16"/>
  <c r="BQ16"/>
  <c r="BK16"/>
  <c r="BE16"/>
  <c r="CC15"/>
  <c r="BQ15"/>
  <c r="BE15"/>
  <c r="BY11"/>
  <c r="F28" i="20"/>
  <c r="BG11" i="8"/>
  <c r="BM11"/>
  <c r="I30" i="3"/>
  <c r="AG61" i="8"/>
  <c r="W61"/>
  <c r="W63" s="1"/>
  <c r="O61"/>
  <c r="BY29" i="7"/>
  <c r="BZ29" s="1"/>
  <c r="BG29"/>
  <c r="BH29" s="1"/>
  <c r="CB29"/>
  <c r="CC29" s="1"/>
  <c r="BV29"/>
  <c r="BW29" s="1"/>
  <c r="CL18" i="8"/>
  <c r="CN11"/>
  <c r="CT11"/>
  <c r="CO57"/>
  <c r="CU57"/>
  <c r="CR56"/>
  <c r="CX56"/>
  <c r="CO55"/>
  <c r="CU55"/>
  <c r="CR50"/>
  <c r="CX50"/>
  <c r="CO49"/>
  <c r="CU49"/>
  <c r="CO44"/>
  <c r="CU44"/>
  <c r="CO40"/>
  <c r="CU40"/>
  <c r="CO39"/>
  <c r="CU39"/>
  <c r="CO38"/>
  <c r="CU38"/>
  <c r="CO37"/>
  <c r="CU37"/>
  <c r="CO20"/>
  <c r="CU20"/>
  <c r="CO19"/>
  <c r="CU19"/>
  <c r="CO18"/>
  <c r="CU18"/>
  <c r="CF11" i="7"/>
  <c r="BT11"/>
  <c r="BH11"/>
  <c r="CK11" i="8"/>
  <c r="CL10"/>
  <c r="CW50" i="7"/>
  <c r="CX50" s="1"/>
  <c r="CT50"/>
  <c r="CU50" s="1"/>
  <c r="CQ50"/>
  <c r="CR50" s="1"/>
  <c r="CN50"/>
  <c r="CO50" s="1"/>
  <c r="CK50"/>
  <c r="CL50" s="1"/>
  <c r="U59" i="1"/>
  <c r="S25" i="3"/>
  <c r="CE29" i="7"/>
  <c r="CF29" s="1"/>
  <c r="CH29"/>
  <c r="CP61" i="8"/>
  <c r="CR36"/>
  <c r="CV61"/>
  <c r="CX36"/>
  <c r="CO14"/>
  <c r="CM31"/>
  <c r="CU14"/>
  <c r="CS31"/>
  <c r="CQ31"/>
  <c r="CW31"/>
  <c r="CR54"/>
  <c r="CX54"/>
  <c r="CO53"/>
  <c r="CU53"/>
  <c r="CR52"/>
  <c r="CX52"/>
  <c r="CO51"/>
  <c r="CU51"/>
  <c r="CR48"/>
  <c r="CX48"/>
  <c r="U27" i="3"/>
  <c r="CO24" i="8"/>
  <c r="CU24"/>
  <c r="CO23"/>
  <c r="CU23"/>
  <c r="CO22"/>
  <c r="CU22"/>
  <c r="CO21"/>
  <c r="CU21"/>
  <c r="CO17"/>
  <c r="CU17"/>
  <c r="CO16"/>
  <c r="CU16"/>
  <c r="CO15"/>
  <c r="CU15"/>
  <c r="T8" i="3"/>
  <c r="V60" i="1" s="1"/>
  <c r="V58" s="1"/>
  <c r="V56" s="1"/>
  <c r="CO9" i="8"/>
  <c r="CU9"/>
  <c r="CR8"/>
  <c r="CX8"/>
  <c r="CO7"/>
  <c r="CU7"/>
  <c r="CL7"/>
  <c r="CR6"/>
  <c r="CX6"/>
  <c r="T59" i="1"/>
  <c r="R25" i="3"/>
  <c r="N26"/>
  <c r="P59" i="1" s="1"/>
  <c r="S63" i="8"/>
  <c r="L26" i="3"/>
  <c r="N59" i="1" s="1"/>
  <c r="O63" i="8"/>
  <c r="J26" i="3"/>
  <c r="L59" i="1" s="1"/>
  <c r="CM61" i="8"/>
  <c r="CO36"/>
  <c r="CS61"/>
  <c r="CU36"/>
  <c r="CR14"/>
  <c r="CP31"/>
  <c r="CR31" s="1"/>
  <c r="CX14"/>
  <c r="CV31"/>
  <c r="CN31"/>
  <c r="CT31"/>
  <c r="U8" i="3"/>
  <c r="W60" i="1" s="1"/>
  <c r="W58" s="1"/>
  <c r="W56" s="1"/>
  <c r="CO54" i="8"/>
  <c r="CU54"/>
  <c r="CR53"/>
  <c r="CX53"/>
  <c r="CO52"/>
  <c r="CU52"/>
  <c r="CR51"/>
  <c r="CX51"/>
  <c r="CO48"/>
  <c r="CU48"/>
  <c r="CR24"/>
  <c r="CX24"/>
  <c r="CL24"/>
  <c r="CR23"/>
  <c r="CX23"/>
  <c r="CL23"/>
  <c r="CR22"/>
  <c r="CX22"/>
  <c r="CL22"/>
  <c r="CR21"/>
  <c r="CX21"/>
  <c r="CR17"/>
  <c r="CX17"/>
  <c r="CL17"/>
  <c r="CR16"/>
  <c r="CX16"/>
  <c r="CL16"/>
  <c r="CR15"/>
  <c r="CX15"/>
  <c r="CL15"/>
  <c r="CR9"/>
  <c r="CX9"/>
  <c r="CO8"/>
  <c r="CU8"/>
  <c r="CL8"/>
  <c r="CR7"/>
  <c r="CX7"/>
  <c r="CO6"/>
  <c r="CU6"/>
  <c r="CQ33"/>
  <c r="CW33"/>
  <c r="CO10"/>
  <c r="CM11"/>
  <c r="CU10"/>
  <c r="CS11"/>
  <c r="CN33"/>
  <c r="CT33"/>
  <c r="CR10"/>
  <c r="CP11"/>
  <c r="CX10"/>
  <c r="CV11"/>
  <c r="CH29"/>
  <c r="CL29"/>
  <c r="AA61"/>
  <c r="CE28"/>
  <c r="CF28" s="1"/>
  <c r="CL6"/>
  <c r="CJ11"/>
  <c r="AA63"/>
  <c r="D33"/>
  <c r="AX31"/>
  <c r="I34" i="7"/>
  <c r="AW58"/>
  <c r="AW60" s="1"/>
  <c r="CH50"/>
  <c r="CI50" s="1"/>
  <c r="C33" i="8"/>
  <c r="P9" i="2"/>
  <c r="P8" s="1"/>
  <c r="CA31" i="8"/>
  <c r="H9" i="2"/>
  <c r="H8" s="1"/>
  <c r="BC31" i="8"/>
  <c r="U9" i="2"/>
  <c r="U8" s="1"/>
  <c r="L9"/>
  <c r="L8" s="1"/>
  <c r="BO31" i="8"/>
  <c r="R9" i="2"/>
  <c r="R8" s="1"/>
  <c r="CG31" i="8"/>
  <c r="N9" i="2"/>
  <c r="N8" s="1"/>
  <c r="BU31" i="8"/>
  <c r="J9" i="2"/>
  <c r="J8" s="1"/>
  <c r="BI31" i="8"/>
  <c r="F9" i="2"/>
  <c r="F8" s="1"/>
  <c r="AW31" i="8"/>
  <c r="Q9" i="2"/>
  <c r="Q8" s="1"/>
  <c r="Q40" s="1"/>
  <c r="CD31" i="8"/>
  <c r="O9" i="2"/>
  <c r="O8" s="1"/>
  <c r="BX31" i="8"/>
  <c r="M9" i="2"/>
  <c r="M8" s="1"/>
  <c r="BR31" i="8"/>
  <c r="K9" i="2"/>
  <c r="K8" s="1"/>
  <c r="BL31" i="8"/>
  <c r="I9" i="2"/>
  <c r="I8" s="1"/>
  <c r="BF31" i="8"/>
  <c r="G9" i="2"/>
  <c r="G8" s="1"/>
  <c r="AZ31" i="8"/>
  <c r="BD28"/>
  <c r="BE28" s="1"/>
  <c r="F27" i="3"/>
  <c r="BN24" i="8"/>
  <c r="R8" i="3"/>
  <c r="T60" i="1" s="1"/>
  <c r="CB28" i="8"/>
  <c r="CC28" s="1"/>
  <c r="CI29"/>
  <c r="BJ28"/>
  <c r="BK28" s="1"/>
  <c r="F28"/>
  <c r="S8" i="3"/>
  <c r="U60" i="1" s="1"/>
  <c r="BG28" i="8"/>
  <c r="BH28" s="1"/>
  <c r="BV28"/>
  <c r="BW28" s="1"/>
  <c r="BS28"/>
  <c r="BT28" s="1"/>
  <c r="BP28"/>
  <c r="BQ28" s="1"/>
  <c r="CH28"/>
  <c r="BY28"/>
  <c r="BZ28" s="1"/>
  <c r="BM28"/>
  <c r="BN28" s="1"/>
  <c r="F8" i="3"/>
  <c r="CF28" i="7"/>
  <c r="Q8" i="3"/>
  <c r="S60" i="1" s="1"/>
  <c r="P8" i="3"/>
  <c r="R60" i="1" s="1"/>
  <c r="O8" i="3"/>
  <c r="Q60" i="1" s="1"/>
  <c r="N8" i="3"/>
  <c r="P60" i="1" s="1"/>
  <c r="M8" i="3"/>
  <c r="O60" i="1" s="1"/>
  <c r="L8" i="3"/>
  <c r="N60" i="1" s="1"/>
  <c r="K8" i="3"/>
  <c r="M60" i="1" s="1"/>
  <c r="J8" i="3"/>
  <c r="L60" i="1" s="1"/>
  <c r="I8" i="3"/>
  <c r="K60" i="1" s="1"/>
  <c r="H8" i="3"/>
  <c r="J60" i="1" s="1"/>
  <c r="G8" i="3"/>
  <c r="I60" i="1" s="1"/>
  <c r="Y28" i="20"/>
  <c r="CE50" i="7"/>
  <c r="CF50" s="1"/>
  <c r="CB50"/>
  <c r="CC50" s="1"/>
  <c r="AF50" i="8"/>
  <c r="BM29"/>
  <c r="BN29" s="1"/>
  <c r="BJ29"/>
  <c r="BK29" s="1"/>
  <c r="CE29"/>
  <c r="CF29" s="1"/>
  <c r="CB29"/>
  <c r="CC29" s="1"/>
  <c r="BV29"/>
  <c r="BW29" s="1"/>
  <c r="BS29"/>
  <c r="BT29" s="1"/>
  <c r="BP29"/>
  <c r="BQ29" s="1"/>
  <c r="BY29"/>
  <c r="BZ29" s="1"/>
  <c r="W28" i="20"/>
  <c r="CC23" i="8"/>
  <c r="E61"/>
  <c r="BZ21"/>
  <c r="BT21"/>
  <c r="BN21"/>
  <c r="BH21"/>
  <c r="BB21"/>
  <c r="BB16"/>
  <c r="AG63"/>
  <c r="Y33"/>
  <c r="AC12"/>
  <c r="M12"/>
  <c r="K61"/>
  <c r="K63" s="1"/>
  <c r="I10" i="20"/>
  <c r="I28" s="1"/>
  <c r="N10"/>
  <c r="L10"/>
  <c r="J61" i="8"/>
  <c r="J63" s="1"/>
  <c r="H10" i="20"/>
  <c r="H28" s="1"/>
  <c r="AE63" i="8"/>
  <c r="AC33"/>
  <c r="U33"/>
  <c r="M33"/>
  <c r="M61"/>
  <c r="M63" s="1"/>
  <c r="K10" i="20"/>
  <c r="G61" i="8"/>
  <c r="E10" i="20"/>
  <c r="E28" s="1"/>
  <c r="H63" i="8"/>
  <c r="AC61"/>
  <c r="AC63" s="1"/>
  <c r="Y61"/>
  <c r="Y63" s="1"/>
  <c r="U61"/>
  <c r="U63" s="1"/>
  <c r="Q61"/>
  <c r="Q63" s="1"/>
  <c r="CC44"/>
  <c r="BQ44"/>
  <c r="BE23"/>
  <c r="BQ22"/>
  <c r="BZ38"/>
  <c r="BB44"/>
  <c r="BQ24"/>
  <c r="BQ23"/>
  <c r="AY23"/>
  <c r="CC22"/>
  <c r="BE22"/>
  <c r="E12"/>
  <c r="U12"/>
  <c r="AZ61"/>
  <c r="BQ39"/>
  <c r="BN22"/>
  <c r="AV31" i="7"/>
  <c r="AG33" i="8"/>
  <c r="Q33"/>
  <c r="I33"/>
  <c r="BZ44"/>
  <c r="CC39"/>
  <c r="BE39"/>
  <c r="BN38"/>
  <c r="BZ24"/>
  <c r="BE24"/>
  <c r="BW23"/>
  <c r="BK23"/>
  <c r="G12"/>
  <c r="BH40"/>
  <c r="BZ15"/>
  <c r="G32"/>
  <c r="AY58" i="7"/>
  <c r="I12" i="8"/>
  <c r="BK44"/>
  <c r="BN44"/>
  <c r="CC40"/>
  <c r="BW39"/>
  <c r="BK39"/>
  <c r="AY39"/>
  <c r="BT38"/>
  <c r="BH38"/>
  <c r="BB40"/>
  <c r="C63"/>
  <c r="AG12"/>
  <c r="Y12"/>
  <c r="Q12"/>
  <c r="G33"/>
  <c r="C12"/>
  <c r="BW44"/>
  <c r="AY44"/>
  <c r="BT44"/>
  <c r="BH44"/>
  <c r="BQ40"/>
  <c r="BZ39"/>
  <c r="BT39"/>
  <c r="BN39"/>
  <c r="BH39"/>
  <c r="BB39"/>
  <c r="CC38"/>
  <c r="BW38"/>
  <c r="BQ38"/>
  <c r="BK38"/>
  <c r="CC24"/>
  <c r="BW24"/>
  <c r="BK24"/>
  <c r="AY24"/>
  <c r="BZ23"/>
  <c r="BT23"/>
  <c r="BN23"/>
  <c r="BH23"/>
  <c r="BB23"/>
  <c r="BW22"/>
  <c r="BK22"/>
  <c r="AY22"/>
  <c r="E31"/>
  <c r="E33" s="1"/>
  <c r="BT40"/>
  <c r="BZ22"/>
  <c r="BB22"/>
  <c r="BN15"/>
  <c r="J33"/>
  <c r="H9" i="20"/>
  <c r="BB38" i="8"/>
  <c r="G33" i="2"/>
  <c r="G30" s="1"/>
  <c r="G63" i="8"/>
  <c r="BI11"/>
  <c r="BZ40"/>
  <c r="BN40"/>
  <c r="K28" i="20"/>
  <c r="AY38" i="8"/>
  <c r="F33" i="2"/>
  <c r="H33" i="8"/>
  <c r="F9" i="20"/>
  <c r="G62" i="8"/>
  <c r="E6" i="20"/>
  <c r="E11" s="1"/>
  <c r="AC6"/>
  <c r="AC11" s="1"/>
  <c r="AC26"/>
  <c r="AA6"/>
  <c r="AA11" s="1"/>
  <c r="AA26"/>
  <c r="Y26"/>
  <c r="Y6"/>
  <c r="Y11" s="1"/>
  <c r="Y24" s="1"/>
  <c r="W6"/>
  <c r="W11" s="1"/>
  <c r="W26"/>
  <c r="U26"/>
  <c r="U6"/>
  <c r="U11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G24" s="1"/>
  <c r="BE38" i="8"/>
  <c r="H33" i="2"/>
  <c r="H30" s="1"/>
  <c r="C32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CG61" i="8"/>
  <c r="CI36"/>
  <c r="CA61"/>
  <c r="CC36"/>
  <c r="BU61"/>
  <c r="BW36"/>
  <c r="BO61"/>
  <c r="BQ36"/>
  <c r="BI61"/>
  <c r="BK36"/>
  <c r="BC61"/>
  <c r="BE36"/>
  <c r="AW61"/>
  <c r="AW63" s="1"/>
  <c r="AY36"/>
  <c r="CF14"/>
  <c r="S9" i="2" s="1"/>
  <c r="S8" s="1"/>
  <c r="BZ14" i="8"/>
  <c r="BT14"/>
  <c r="BN14"/>
  <c r="BH14"/>
  <c r="BB14"/>
  <c r="BB31" s="1"/>
  <c r="CA11"/>
  <c r="CC6"/>
  <c r="CC11" s="1"/>
  <c r="BO11"/>
  <c r="BQ6"/>
  <c r="BQ11" s="1"/>
  <c r="BC11"/>
  <c r="BE6"/>
  <c r="BE11" s="1"/>
  <c r="AE33"/>
  <c r="AE12"/>
  <c r="BX11"/>
  <c r="BZ6"/>
  <c r="BZ11" s="1"/>
  <c r="W33"/>
  <c r="W12"/>
  <c r="BL11"/>
  <c r="BN6"/>
  <c r="BN11" s="1"/>
  <c r="O33"/>
  <c r="O12"/>
  <c r="AZ11"/>
  <c r="BB6"/>
  <c r="BB11" s="1"/>
  <c r="I32"/>
  <c r="BB36"/>
  <c r="F39" i="3"/>
  <c r="D63" i="8"/>
  <c r="D64" s="1"/>
  <c r="C34"/>
  <c r="AZ58" i="7"/>
  <c r="CD61" i="8"/>
  <c r="CF36"/>
  <c r="S31" i="2" s="1"/>
  <c r="S30" s="1"/>
  <c r="S40" s="1"/>
  <c r="BX61" i="8"/>
  <c r="BZ36"/>
  <c r="BR61"/>
  <c r="BT36"/>
  <c r="BL61"/>
  <c r="BN36"/>
  <c r="BF61"/>
  <c r="BH36"/>
  <c r="CI14"/>
  <c r="CC14"/>
  <c r="BW14"/>
  <c r="BQ14"/>
  <c r="BK14"/>
  <c r="BE14"/>
  <c r="AY14"/>
  <c r="CD11"/>
  <c r="CF6"/>
  <c r="CF11" s="1"/>
  <c r="AA33"/>
  <c r="AA12"/>
  <c r="BR11"/>
  <c r="BT6"/>
  <c r="BT11" s="1"/>
  <c r="S33"/>
  <c r="S12"/>
  <c r="BF11"/>
  <c r="BH6"/>
  <c r="BH11" s="1"/>
  <c r="K33"/>
  <c r="K12"/>
  <c r="CI6"/>
  <c r="CI11" s="1"/>
  <c r="BW6"/>
  <c r="BW11" s="1"/>
  <c r="BK6"/>
  <c r="BK11" s="1"/>
  <c r="AY6"/>
  <c r="AY11" s="1"/>
  <c r="I34"/>
  <c r="H64"/>
  <c r="M60" i="7"/>
  <c r="G34" i="8" l="1"/>
  <c r="I62"/>
  <c r="R30" i="2"/>
  <c r="D26" i="3"/>
  <c r="T30" i="2"/>
  <c r="T40" s="1"/>
  <c r="U24" i="20"/>
  <c r="CX31" i="8"/>
  <c r="CL11"/>
  <c r="CX11"/>
  <c r="CX33" s="1"/>
  <c r="CR11"/>
  <c r="CO11"/>
  <c r="CU11"/>
  <c r="U37" i="3"/>
  <c r="U46" s="1"/>
  <c r="CU31" i="8"/>
  <c r="CU33" s="1"/>
  <c r="CO31"/>
  <c r="CR33"/>
  <c r="CV33"/>
  <c r="CV63"/>
  <c r="CP33"/>
  <c r="CP63"/>
  <c r="CS33"/>
  <c r="CS63"/>
  <c r="CM33"/>
  <c r="CM63"/>
  <c r="AC24" i="20"/>
  <c r="CJ63" i="8"/>
  <c r="CJ33"/>
  <c r="CL28"/>
  <c r="CK31"/>
  <c r="CI29" i="7"/>
  <c r="E63" i="8"/>
  <c r="I6" i="20"/>
  <c r="I11" s="1"/>
  <c r="I24" s="1"/>
  <c r="CI28" i="8"/>
  <c r="AY61"/>
  <c r="CE50"/>
  <c r="CF50" s="1"/>
  <c r="CB50"/>
  <c r="CC50" s="1"/>
  <c r="AA24" i="20"/>
  <c r="AY31" i="8"/>
  <c r="AY33" s="1"/>
  <c r="K24" i="20"/>
  <c r="E24"/>
  <c r="W24"/>
  <c r="O24"/>
  <c r="J64" i="8"/>
  <c r="G39" i="3"/>
  <c r="F6" i="20"/>
  <c r="F11" s="1"/>
  <c r="F24" s="1"/>
  <c r="F26"/>
  <c r="H26"/>
  <c r="H6"/>
  <c r="H11" s="1"/>
  <c r="H24" s="1"/>
  <c r="Y171" i="13"/>
  <c r="T172"/>
  <c r="BF63" i="8"/>
  <c r="BF33"/>
  <c r="CD63"/>
  <c r="CD33"/>
  <c r="BR63"/>
  <c r="BR33"/>
  <c r="BB33"/>
  <c r="BL63"/>
  <c r="BL33"/>
  <c r="BC63"/>
  <c r="BC33"/>
  <c r="BO63"/>
  <c r="BO33"/>
  <c r="CA63"/>
  <c r="CA33"/>
  <c r="AW33"/>
  <c r="BI33"/>
  <c r="BI63"/>
  <c r="BU33"/>
  <c r="BU63"/>
  <c r="CG33"/>
  <c r="CG63"/>
  <c r="AZ63"/>
  <c r="AZ33"/>
  <c r="BX63"/>
  <c r="BX33"/>
  <c r="CO33" l="1"/>
  <c r="CK33"/>
  <c r="CL31"/>
  <c r="AX33"/>
  <c r="AX63"/>
  <c r="AY63" s="1"/>
  <c r="AY64"/>
  <c r="CL33" l="1"/>
  <c r="S18" i="1"/>
  <c r="R18"/>
  <c r="Q18"/>
  <c r="P18"/>
  <c r="O18"/>
  <c r="N18"/>
  <c r="M18"/>
  <c r="L18"/>
  <c r="K18"/>
  <c r="J18"/>
  <c r="I18"/>
  <c r="H18"/>
  <c r="I20"/>
  <c r="H20"/>
  <c r="Z100" i="6"/>
  <c r="Y100"/>
  <c r="X100"/>
  <c r="W100"/>
  <c r="V100"/>
  <c r="U100"/>
  <c r="T100"/>
  <c r="S100"/>
  <c r="R100"/>
  <c r="Q100"/>
  <c r="P100"/>
  <c r="F53" i="3" l="1"/>
  <c r="Q27"/>
  <c r="S61" i="1" s="1"/>
  <c r="P27" i="3"/>
  <c r="R61" i="1" s="1"/>
  <c r="O27" i="3"/>
  <c r="Q61" i="1" s="1"/>
  <c r="N27" i="3"/>
  <c r="P61" i="1" s="1"/>
  <c r="M27" i="3"/>
  <c r="O61" i="1" s="1"/>
  <c r="L27" i="3"/>
  <c r="N61" i="1" s="1"/>
  <c r="K27" i="3"/>
  <c r="M61" i="1" s="1"/>
  <c r="J27" i="3"/>
  <c r="L61" i="1" s="1"/>
  <c r="I27" i="3"/>
  <c r="K61" i="1" s="1"/>
  <c r="H27" i="3"/>
  <c r="G27"/>
  <c r="I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J37" l="1"/>
  <c r="L37"/>
  <c r="N37"/>
  <c r="P37"/>
  <c r="I37"/>
  <c r="K37"/>
  <c r="M37"/>
  <c r="O37"/>
  <c r="Q37"/>
  <c r="H37"/>
  <c r="G37"/>
  <c r="G46" s="1"/>
  <c r="F37"/>
  <c r="F46" s="1"/>
  <c r="F30" i="2" l="1"/>
  <c r="P26"/>
  <c r="P40" s="1"/>
  <c r="O26"/>
  <c r="O40" s="1"/>
  <c r="N26"/>
  <c r="N40" s="1"/>
  <c r="M26"/>
  <c r="M40" s="1"/>
  <c r="L26"/>
  <c r="L40" s="1"/>
  <c r="K26"/>
  <c r="K40" s="1"/>
  <c r="J26"/>
  <c r="J40" s="1"/>
  <c r="I26"/>
  <c r="I40" s="1"/>
  <c r="H26"/>
  <c r="H40" s="1"/>
  <c r="G26"/>
  <c r="G40" s="1"/>
  <c r="F26"/>
  <c r="G6"/>
  <c r="H6" s="1"/>
  <c r="I6" s="1"/>
  <c r="J6" s="1"/>
  <c r="K6" s="1"/>
  <c r="L6" s="1"/>
  <c r="M6" s="1"/>
  <c r="N6" s="1"/>
  <c r="O6" s="1"/>
  <c r="P6" s="1"/>
  <c r="Q6" s="1"/>
  <c r="R6" s="1"/>
  <c r="S6" s="1"/>
  <c r="F40" l="1"/>
  <c r="W96" i="6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l="1"/>
  <c r="N96"/>
  <c r="L96" s="1"/>
  <c r="T136" i="4" l="1"/>
  <c r="S136"/>
  <c r="R136"/>
  <c r="P136"/>
  <c r="N136" s="1"/>
  <c r="P132"/>
  <c r="N122"/>
  <c r="N118"/>
  <c r="N114" s="1"/>
  <c r="L114" s="1"/>
  <c r="T114"/>
  <c r="S114"/>
  <c r="R114"/>
  <c r="Q114"/>
  <c r="P114"/>
  <c r="N109"/>
  <c r="N105"/>
  <c r="N101" s="1"/>
  <c r="L101" s="1"/>
  <c r="T101"/>
  <c r="S101"/>
  <c r="R101"/>
  <c r="Q101"/>
  <c r="V107" s="1"/>
  <c r="P101"/>
  <c r="V105" s="1"/>
  <c r="N96"/>
  <c r="N92"/>
  <c r="N88" s="1"/>
  <c r="L88" s="1"/>
  <c r="T88"/>
  <c r="S88"/>
  <c r="R88"/>
  <c r="Q88"/>
  <c r="V94" s="1"/>
  <c r="P88"/>
  <c r="V92" s="1"/>
  <c r="N83"/>
  <c r="N79"/>
  <c r="N75" s="1"/>
  <c r="L75" s="1"/>
  <c r="T75"/>
  <c r="S75"/>
  <c r="R75"/>
  <c r="Q75"/>
  <c r="V81" s="1"/>
  <c r="P75"/>
  <c r="V79" s="1"/>
  <c r="N70"/>
  <c r="N66"/>
  <c r="N62" s="1"/>
  <c r="L62" s="1"/>
  <c r="T62"/>
  <c r="S62"/>
  <c r="V72" s="1"/>
  <c r="R62"/>
  <c r="V70" s="1"/>
  <c r="Q62"/>
  <c r="V68" s="1"/>
  <c r="P62"/>
  <c r="V66" s="1"/>
  <c r="N57"/>
  <c r="N53"/>
  <c r="N49"/>
  <c r="T45"/>
  <c r="T132" s="1"/>
  <c r="S45"/>
  <c r="S132" s="1"/>
  <c r="R45"/>
  <c r="R132" s="1"/>
  <c r="Q45"/>
  <c r="V51" s="1"/>
  <c r="P45"/>
  <c r="V49" s="1"/>
  <c r="N45"/>
  <c r="L45" s="1"/>
  <c r="N40"/>
  <c r="N36"/>
  <c r="T32"/>
  <c r="S32"/>
  <c r="V42" s="1"/>
  <c r="R32"/>
  <c r="V40" s="1"/>
  <c r="Q32"/>
  <c r="V38" s="1"/>
  <c r="P32"/>
  <c r="V36" s="1"/>
  <c r="N32"/>
  <c r="L32" s="1"/>
  <c r="N23"/>
  <c r="N19" s="1"/>
  <c r="L19" s="1"/>
  <c r="T19"/>
  <c r="S19"/>
  <c r="V29" s="1"/>
  <c r="R19"/>
  <c r="V27" s="1"/>
  <c r="Q19"/>
  <c r="V25" s="1"/>
  <c r="P19"/>
  <c r="V23" s="1"/>
  <c r="U19" l="1"/>
  <c r="Q128"/>
  <c r="S128"/>
  <c r="V118"/>
  <c r="P128"/>
  <c r="V132" s="1"/>
  <c r="V138"/>
  <c r="U75"/>
  <c r="U88"/>
  <c r="U101"/>
  <c r="R128"/>
  <c r="T128"/>
  <c r="V120"/>
  <c r="V134"/>
  <c r="U32"/>
  <c r="U62"/>
  <c r="N132"/>
  <c r="N128" s="1"/>
  <c r="L128" s="1"/>
  <c r="V136"/>
  <c r="U128" s="1"/>
  <c r="V55"/>
  <c r="V53"/>
  <c r="U45" s="1"/>
  <c r="U114" l="1"/>
  <c r="D93" i="1"/>
  <c r="G49" i="3" l="1"/>
  <c r="G53" s="1"/>
  <c r="H49" l="1"/>
  <c r="I49"/>
  <c r="H51"/>
  <c r="I51" l="1"/>
  <c r="H53"/>
  <c r="J49" l="1"/>
  <c r="J51"/>
  <c r="I53"/>
  <c r="E29" i="1"/>
  <c r="D29"/>
  <c r="K49" i="3" l="1"/>
  <c r="J53"/>
  <c r="K51"/>
  <c r="J14" i="1"/>
  <c r="K14" s="1"/>
  <c r="L14" s="1"/>
  <c r="M14" s="1"/>
  <c r="N14" s="1"/>
  <c r="O14" s="1"/>
  <c r="P14" s="1"/>
  <c r="Q14" s="1"/>
  <c r="R14" s="1"/>
  <c r="S14" s="1"/>
  <c r="J15"/>
  <c r="K15" s="1"/>
  <c r="L15" s="1"/>
  <c r="M15" s="1"/>
  <c r="N15" s="1"/>
  <c r="O15" s="1"/>
  <c r="P15" s="1"/>
  <c r="Q15" s="1"/>
  <c r="R15" s="1"/>
  <c r="S15" s="1"/>
  <c r="J16"/>
  <c r="K16" s="1"/>
  <c r="L16" s="1"/>
  <c r="M16" s="1"/>
  <c r="N16" s="1"/>
  <c r="O16" s="1"/>
  <c r="P16" s="1"/>
  <c r="Q16" s="1"/>
  <c r="R16" s="1"/>
  <c r="S16" s="1"/>
  <c r="E47"/>
  <c r="D47"/>
  <c r="D45" s="1"/>
  <c r="E58"/>
  <c r="E56" s="1"/>
  <c r="E34" s="1"/>
  <c r="E31" s="1"/>
  <c r="D58"/>
  <c r="D56" s="1"/>
  <c r="D34" s="1"/>
  <c r="L49" i="3" l="1"/>
  <c r="K53"/>
  <c r="L51"/>
  <c r="E22" i="1"/>
  <c r="D22"/>
  <c r="E9"/>
  <c r="E8"/>
  <c r="D9"/>
  <c r="D8"/>
  <c r="E93" s="1"/>
  <c r="M49" i="3" l="1"/>
  <c r="L53"/>
  <c r="M51"/>
  <c r="E91" i="1"/>
  <c r="E92" s="1"/>
  <c r="F93"/>
  <c r="D74"/>
  <c r="D91"/>
  <c r="D92" s="1"/>
  <c r="E10"/>
  <c r="D10"/>
  <c r="O49" i="3" l="1"/>
  <c r="N49"/>
  <c r="N51"/>
  <c r="M53"/>
  <c r="D31" i="1"/>
  <c r="E45"/>
  <c r="E74" s="1"/>
  <c r="F9"/>
  <c r="F8"/>
  <c r="G93" l="1"/>
  <c r="G92" s="1"/>
  <c r="H93"/>
  <c r="O51" i="3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Q49"/>
  <c r="P53"/>
  <c r="H58" i="1"/>
  <c r="I58"/>
  <c r="J58"/>
  <c r="K58"/>
  <c r="L58"/>
  <c r="M58"/>
  <c r="N58"/>
  <c r="O58"/>
  <c r="P58"/>
  <c r="Q58"/>
  <c r="R58"/>
  <c r="S58"/>
  <c r="Q53" i="3" l="1"/>
  <c r="V9" i="1"/>
  <c r="R51" i="3"/>
  <c r="R49"/>
  <c r="W9" i="1" l="1"/>
  <c r="R53" i="3"/>
  <c r="S51"/>
  <c r="AB13" i="1"/>
  <c r="AG77"/>
  <c r="AF77"/>
  <c r="AE77"/>
  <c r="AD77"/>
  <c r="AC77"/>
  <c r="AB77"/>
  <c r="U77"/>
  <c r="T77"/>
  <c r="S77"/>
  <c r="R77"/>
  <c r="Q77"/>
  <c r="P77"/>
  <c r="O77"/>
  <c r="N77"/>
  <c r="M77"/>
  <c r="I77"/>
  <c r="H77"/>
  <c r="T15"/>
  <c r="U15" s="1"/>
  <c r="T14"/>
  <c r="U14" s="1"/>
  <c r="T16"/>
  <c r="U16" s="1"/>
  <c r="U9"/>
  <c r="T9"/>
  <c r="S9"/>
  <c r="R9"/>
  <c r="Q9"/>
  <c r="P9"/>
  <c r="O9"/>
  <c r="N9"/>
  <c r="M9"/>
  <c r="L9"/>
  <c r="K9"/>
  <c r="J9"/>
  <c r="T8"/>
  <c r="S8"/>
  <c r="R8"/>
  <c r="Q8"/>
  <c r="P8"/>
  <c r="N8"/>
  <c r="M8"/>
  <c r="L8"/>
  <c r="K8"/>
  <c r="J8"/>
  <c r="I8"/>
  <c r="AG29"/>
  <c r="AF29"/>
  <c r="AE29"/>
  <c r="AD29"/>
  <c r="AC29"/>
  <c r="AB29"/>
  <c r="U29"/>
  <c r="T29"/>
  <c r="S29"/>
  <c r="R29"/>
  <c r="Q29"/>
  <c r="P29"/>
  <c r="O29"/>
  <c r="N29"/>
  <c r="M29"/>
  <c r="L29"/>
  <c r="H9"/>
  <c r="H8"/>
  <c r="I93" s="1"/>
  <c r="G58" i="3" s="1"/>
  <c r="AB14" i="1" l="1"/>
  <c r="AC14" s="1"/>
  <c r="AD14" s="1"/>
  <c r="AE14" s="1"/>
  <c r="AF14" s="1"/>
  <c r="AG14" s="1"/>
  <c r="V14"/>
  <c r="W14" s="1"/>
  <c r="X14" s="1"/>
  <c r="Y14" s="1"/>
  <c r="Z14" s="1"/>
  <c r="AB16"/>
  <c r="AC16" s="1"/>
  <c r="AD16" s="1"/>
  <c r="AE16" s="1"/>
  <c r="AF16" s="1"/>
  <c r="AG16" s="1"/>
  <c r="V16"/>
  <c r="W16" s="1"/>
  <c r="X16" s="1"/>
  <c r="Y16" s="1"/>
  <c r="Z16" s="1"/>
  <c r="AB15"/>
  <c r="AC15" s="1"/>
  <c r="AD15" s="1"/>
  <c r="AE15" s="1"/>
  <c r="AF15" s="1"/>
  <c r="AG15" s="1"/>
  <c r="V15"/>
  <c r="W15" s="1"/>
  <c r="X15" s="1"/>
  <c r="Y15" s="1"/>
  <c r="Z15" s="1"/>
  <c r="X9"/>
  <c r="AC13"/>
  <c r="AC9" s="1"/>
  <c r="T93"/>
  <c r="U93"/>
  <c r="J93"/>
  <c r="H58" i="3" s="1"/>
  <c r="AB9" i="1"/>
  <c r="F48" i="3"/>
  <c r="F41" i="2"/>
  <c r="F42" s="1"/>
  <c r="J41"/>
  <c r="J42" s="1"/>
  <c r="J48" i="3"/>
  <c r="L41" i="2"/>
  <c r="L42" s="1"/>
  <c r="L48" i="3"/>
  <c r="N41" i="2"/>
  <c r="N42" s="1"/>
  <c r="N48" i="3"/>
  <c r="K93" i="1"/>
  <c r="I58" i="3" s="1"/>
  <c r="K48"/>
  <c r="M58" s="1"/>
  <c r="K41" i="2"/>
  <c r="K42" s="1"/>
  <c r="M48" i="3"/>
  <c r="O58" s="1"/>
  <c r="M41" i="2"/>
  <c r="M42" s="1"/>
  <c r="Q48" i="3"/>
  <c r="Q41" i="2"/>
  <c r="R41"/>
  <c r="R48" i="3"/>
  <c r="P48"/>
  <c r="P41" i="2"/>
  <c r="P42" s="1"/>
  <c r="O48" i="3"/>
  <c r="O41" i="2"/>
  <c r="O42" s="1"/>
  <c r="I41"/>
  <c r="I42" s="1"/>
  <c r="I48" i="3"/>
  <c r="H41" i="2"/>
  <c r="H42" s="1"/>
  <c r="H48" i="3"/>
  <c r="G48"/>
  <c r="G41" i="2"/>
  <c r="G42" s="1"/>
  <c r="P93" i="1"/>
  <c r="M93"/>
  <c r="O93"/>
  <c r="Q93"/>
  <c r="S93"/>
  <c r="N93"/>
  <c r="R93"/>
  <c r="L93"/>
  <c r="I91"/>
  <c r="H91"/>
  <c r="H92" s="1"/>
  <c r="Y9" l="1"/>
  <c r="AD13"/>
  <c r="K58" i="3"/>
  <c r="L58"/>
  <c r="S58"/>
  <c r="F57"/>
  <c r="F55"/>
  <c r="N58"/>
  <c r="Q58"/>
  <c r="P58"/>
  <c r="R58"/>
  <c r="G57"/>
  <c r="G55"/>
  <c r="J58"/>
  <c r="I92" i="1"/>
  <c r="T10"/>
  <c r="S10"/>
  <c r="R10"/>
  <c r="Q10"/>
  <c r="P10"/>
  <c r="O10"/>
  <c r="N10"/>
  <c r="M10"/>
  <c r="L10"/>
  <c r="K10"/>
  <c r="J10"/>
  <c r="H10"/>
  <c r="I52" s="1"/>
  <c r="T22"/>
  <c r="S22"/>
  <c r="R22"/>
  <c r="Q22"/>
  <c r="P22"/>
  <c r="O22"/>
  <c r="N22"/>
  <c r="M22"/>
  <c r="L22"/>
  <c r="K22"/>
  <c r="J22"/>
  <c r="I22"/>
  <c r="H22"/>
  <c r="AG31"/>
  <c r="AF31"/>
  <c r="AE31"/>
  <c r="AD31"/>
  <c r="AC31"/>
  <c r="AB31"/>
  <c r="U31"/>
  <c r="T31"/>
  <c r="S31"/>
  <c r="R31"/>
  <c r="Q31"/>
  <c r="P31"/>
  <c r="O31"/>
  <c r="N31"/>
  <c r="M31"/>
  <c r="H39"/>
  <c r="H76" s="1"/>
  <c r="H78" s="1"/>
  <c r="F39"/>
  <c r="H47"/>
  <c r="H65" s="1"/>
  <c r="F47"/>
  <c r="F45" s="1"/>
  <c r="AG58"/>
  <c r="AF58"/>
  <c r="AE58"/>
  <c r="AD58"/>
  <c r="AC58"/>
  <c r="AB58"/>
  <c r="U58"/>
  <c r="H86" l="1"/>
  <c r="Z9"/>
  <c r="AE13"/>
  <c r="V51" i="3"/>
  <c r="AD9" i="1"/>
  <c r="H56"/>
  <c r="I56"/>
  <c r="K56"/>
  <c r="M56"/>
  <c r="J56"/>
  <c r="L56"/>
  <c r="N56"/>
  <c r="U56"/>
  <c r="S56"/>
  <c r="B56" i="7" s="1"/>
  <c r="B56" i="8" s="1"/>
  <c r="AB56" i="1"/>
  <c r="AD56"/>
  <c r="AF56"/>
  <c r="R56"/>
  <c r="AC56"/>
  <c r="AE56"/>
  <c r="AG56"/>
  <c r="Q56"/>
  <c r="P56"/>
  <c r="O56"/>
  <c r="B51" i="7"/>
  <c r="B51" i="8" s="1"/>
  <c r="M39" i="1"/>
  <c r="M78" s="1"/>
  <c r="O39"/>
  <c r="O78" s="1"/>
  <c r="Q39"/>
  <c r="Q78" s="1"/>
  <c r="L39"/>
  <c r="N39"/>
  <c r="N78" s="1"/>
  <c r="P39"/>
  <c r="P78" s="1"/>
  <c r="R39"/>
  <c r="R78" s="1"/>
  <c r="T39"/>
  <c r="T78" s="1"/>
  <c r="J39"/>
  <c r="J76" s="1"/>
  <c r="K41"/>
  <c r="K39" s="1"/>
  <c r="AF13" l="1"/>
  <c r="W51" i="3"/>
  <c r="AE9" i="1"/>
  <c r="I84"/>
  <c r="S47"/>
  <c r="S45" s="1"/>
  <c r="S74" s="1"/>
  <c r="H31"/>
  <c r="H84"/>
  <c r="U47"/>
  <c r="U45" s="1"/>
  <c r="F58"/>
  <c r="F29"/>
  <c r="F22"/>
  <c r="F10"/>
  <c r="H52" s="1"/>
  <c r="H45" s="1"/>
  <c r="H74" s="1"/>
  <c r="AG13" l="1"/>
  <c r="X51" i="3"/>
  <c r="AF9" i="1"/>
  <c r="S39"/>
  <c r="S78" s="1"/>
  <c r="O47"/>
  <c r="O45" s="1"/>
  <c r="O74" s="1"/>
  <c r="B52" i="7"/>
  <c r="B52" i="8" s="1"/>
  <c r="R47" i="1"/>
  <c r="R45" s="1"/>
  <c r="R74" s="1"/>
  <c r="B55" i="7"/>
  <c r="B55" i="8" s="1"/>
  <c r="M47" i="1"/>
  <c r="M45" s="1"/>
  <c r="M74" s="1"/>
  <c r="B50" i="7"/>
  <c r="B50" i="8" s="1"/>
  <c r="Q47" i="1"/>
  <c r="Q45" s="1"/>
  <c r="Q74" s="1"/>
  <c r="B54" i="7"/>
  <c r="B54" i="8" s="1"/>
  <c r="P47" i="1"/>
  <c r="P45" s="1"/>
  <c r="P74" s="1"/>
  <c r="B53" i="7"/>
  <c r="B53" i="8" s="1"/>
  <c r="F56" i="1"/>
  <c r="F34" s="1"/>
  <c r="F91"/>
  <c r="F92" s="1"/>
  <c r="I31"/>
  <c r="I47"/>
  <c r="F31"/>
  <c r="F74"/>
  <c r="J6"/>
  <c r="K6" s="1"/>
  <c r="L6" s="1"/>
  <c r="M6" s="1"/>
  <c r="N6" s="1"/>
  <c r="O6" s="1"/>
  <c r="P6" s="1"/>
  <c r="Q6" s="1"/>
  <c r="R6" s="1"/>
  <c r="S6" s="1"/>
  <c r="T6" s="1"/>
  <c r="U6" s="1"/>
  <c r="N47"/>
  <c r="N45" s="1"/>
  <c r="N74" s="1"/>
  <c r="D124" i="9"/>
  <c r="AB6" i="1" l="1"/>
  <c r="AC6" s="1"/>
  <c r="AD6" s="1"/>
  <c r="AE6" s="1"/>
  <c r="AF6" s="1"/>
  <c r="AG6" s="1"/>
  <c r="V6"/>
  <c r="W6" s="1"/>
  <c r="X6" s="1"/>
  <c r="Y6" s="1"/>
  <c r="Z6" s="1"/>
  <c r="AG9"/>
  <c r="I45"/>
  <c r="I65"/>
  <c r="J37"/>
  <c r="J31" s="1"/>
  <c r="J77"/>
  <c r="J78" s="1"/>
  <c r="D130" i="9"/>
  <c r="D135"/>
  <c r="D127"/>
  <c r="D132"/>
  <c r="D134"/>
  <c r="D131"/>
  <c r="D128"/>
  <c r="D133"/>
  <c r="D125"/>
  <c r="D129"/>
  <c r="D126"/>
  <c r="P172" i="11"/>
  <c r="I86" i="1" l="1"/>
  <c r="T42" i="1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8" i="7" s="1"/>
  <c r="T28" i="11"/>
  <c r="T112"/>
  <c r="Y123" s="1"/>
  <c r="AD48" i="7" s="1"/>
  <c r="T88" i="11"/>
  <c r="T64"/>
  <c r="Y75" s="1"/>
  <c r="V48" i="7" s="1"/>
  <c r="T52" i="11"/>
  <c r="Y39" l="1"/>
  <c r="P48" i="7" s="1"/>
  <c r="P48" i="8" s="1"/>
  <c r="Y87" i="11"/>
  <c r="X48" i="7" s="1"/>
  <c r="X48" i="8" s="1"/>
  <c r="AD48"/>
  <c r="Y99" i="11"/>
  <c r="Z48" i="7" s="1"/>
  <c r="Z48" i="8" s="1"/>
  <c r="Y111" i="11"/>
  <c r="AB48" i="7" s="1"/>
  <c r="Y63" i="11"/>
  <c r="T48" i="7" s="1"/>
  <c r="T48" i="8" s="1"/>
  <c r="V48"/>
  <c r="R48"/>
  <c r="Y159" i="11"/>
  <c r="Y147"/>
  <c r="AB48" i="8"/>
  <c r="T172" i="11"/>
  <c r="Y15"/>
  <c r="Y135"/>
  <c r="AF48" i="7" s="1"/>
  <c r="Y27" i="11"/>
  <c r="Y171"/>
  <c r="CW48" i="7" l="1"/>
  <c r="CX48" s="1"/>
  <c r="CT48"/>
  <c r="CU48" s="1"/>
  <c r="CQ48"/>
  <c r="CR48" s="1"/>
  <c r="CN48"/>
  <c r="CO48" s="1"/>
  <c r="CK48"/>
  <c r="CL48" s="1"/>
  <c r="CH48"/>
  <c r="CI48" s="1"/>
  <c r="CE48"/>
  <c r="CF48" s="1"/>
  <c r="AF48" i="8"/>
  <c r="CE48" s="1"/>
  <c r="CF48" s="1"/>
  <c r="BY48" i="7"/>
  <c r="BZ48" s="1"/>
  <c r="BG48"/>
  <c r="BH48" s="1"/>
  <c r="F48"/>
  <c r="BV48"/>
  <c r="BW48" s="1"/>
  <c r="BM48"/>
  <c r="BN48" s="1"/>
  <c r="CB48"/>
  <c r="CC48" s="1"/>
  <c r="BS48"/>
  <c r="BT48" s="1"/>
  <c r="BJ48"/>
  <c r="BK48" s="1"/>
  <c r="BP48"/>
  <c r="BQ48" s="1"/>
  <c r="F48" i="8"/>
  <c r="BM48"/>
  <c r="BN48" s="1"/>
  <c r="P172" i="12"/>
  <c r="BP48" i="8" l="1"/>
  <c r="BQ48" s="1"/>
  <c r="BJ48"/>
  <c r="BK48" s="1"/>
  <c r="BV48"/>
  <c r="BW48" s="1"/>
  <c r="BS48"/>
  <c r="BT48" s="1"/>
  <c r="BG48"/>
  <c r="BH48" s="1"/>
  <c r="BY48"/>
  <c r="BZ48" s="1"/>
  <c r="CB48"/>
  <c r="CC48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9" i="7" s="1"/>
  <c r="T100" i="12"/>
  <c r="T52"/>
  <c r="T40"/>
  <c r="T88"/>
  <c r="Y99" s="1"/>
  <c r="T76"/>
  <c r="T112"/>
  <c r="T64"/>
  <c r="T28"/>
  <c r="CW49" i="7" l="1"/>
  <c r="CX49" s="1"/>
  <c r="CT49"/>
  <c r="CU49" s="1"/>
  <c r="CQ49"/>
  <c r="CR49" s="1"/>
  <c r="CN49"/>
  <c r="CO49" s="1"/>
  <c r="CK49"/>
  <c r="CL49" s="1"/>
  <c r="CH49"/>
  <c r="CI49" s="1"/>
  <c r="AF49" i="8"/>
  <c r="CE49" s="1"/>
  <c r="CF49" s="1"/>
  <c r="CE49" i="7"/>
  <c r="CF49" s="1"/>
  <c r="Y39" i="12"/>
  <c r="Y123"/>
  <c r="AD49" i="7" s="1"/>
  <c r="AD49" i="8" s="1"/>
  <c r="Y63" i="12"/>
  <c r="T49" i="7" s="1"/>
  <c r="T49" i="8" s="1"/>
  <c r="Y171" i="12"/>
  <c r="Y75"/>
  <c r="V49" i="7" s="1"/>
  <c r="Y87" i="12"/>
  <c r="X49" i="7" s="1"/>
  <c r="Y51" i="12"/>
  <c r="R49" i="7" s="1"/>
  <c r="Y111" i="12"/>
  <c r="BV49" i="7" s="1"/>
  <c r="BW49" s="1"/>
  <c r="Y159" i="12"/>
  <c r="Y147"/>
  <c r="Z49" i="8"/>
  <c r="Y15" i="12"/>
  <c r="T172"/>
  <c r="CB49" i="8" l="1"/>
  <c r="CC49" s="1"/>
  <c r="CB49" i="7"/>
  <c r="CC49" s="1"/>
  <c r="BY49"/>
  <c r="BZ49" s="1"/>
  <c r="AB49" i="8"/>
  <c r="BY49" s="1"/>
  <c r="BZ49" s="1"/>
  <c r="BS49" i="7"/>
  <c r="BT49" s="1"/>
  <c r="X49" i="8"/>
  <c r="BS49" s="1"/>
  <c r="BT49" s="1"/>
  <c r="R49"/>
  <c r="F49" i="7"/>
  <c r="BJ49"/>
  <c r="BK49" s="1"/>
  <c r="V49" i="8"/>
  <c r="BP49" i="7"/>
  <c r="BQ49" s="1"/>
  <c r="BM49"/>
  <c r="BN49" s="1"/>
  <c r="F49" i="8" l="1"/>
  <c r="BP49"/>
  <c r="BQ49" s="1"/>
  <c r="BV49"/>
  <c r="BW49" s="1"/>
  <c r="BJ49"/>
  <c r="BK49" s="1"/>
  <c r="BM49"/>
  <c r="BN49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1" i="7" s="1"/>
  <c r="T160" i="14"/>
  <c r="T28"/>
  <c r="Y39" s="1"/>
  <c r="T136"/>
  <c r="T16"/>
  <c r="Y27" s="1"/>
  <c r="T64"/>
  <c r="T148"/>
  <c r="Y159" s="1"/>
  <c r="T88"/>
  <c r="T100"/>
  <c r="Y111" s="1"/>
  <c r="AB51" i="7" s="1"/>
  <c r="T76" i="14"/>
  <c r="T40"/>
  <c r="Y51" s="1"/>
  <c r="T52"/>
  <c r="Y75" l="1"/>
  <c r="V51" i="7" s="1"/>
  <c r="Y147" i="14"/>
  <c r="AD51" i="8"/>
  <c r="Y63" i="14"/>
  <c r="Y87"/>
  <c r="X51" i="7" s="1"/>
  <c r="X51" i="8" s="1"/>
  <c r="Y171" i="14"/>
  <c r="AB51" i="8"/>
  <c r="V51"/>
  <c r="Y15" i="14"/>
  <c r="T172"/>
  <c r="Y99"/>
  <c r="Z51" i="7" s="1"/>
  <c r="Y135" i="14"/>
  <c r="AF51" i="7" s="1"/>
  <c r="CW51" l="1"/>
  <c r="CX51" s="1"/>
  <c r="CT51"/>
  <c r="CU51" s="1"/>
  <c r="CQ51"/>
  <c r="CR51" s="1"/>
  <c r="CN51"/>
  <c r="CO51" s="1"/>
  <c r="CK51"/>
  <c r="CL51" s="1"/>
  <c r="CH51"/>
  <c r="CI51" s="1"/>
  <c r="AF51" i="8"/>
  <c r="CE51" s="1"/>
  <c r="CF51" s="1"/>
  <c r="CE51" i="7"/>
  <c r="CF51" s="1"/>
  <c r="BY51"/>
  <c r="BZ51" s="1"/>
  <c r="CB51"/>
  <c r="CC51" s="1"/>
  <c r="BS51"/>
  <c r="BT51" s="1"/>
  <c r="F51"/>
  <c r="BV51"/>
  <c r="BW51" s="1"/>
  <c r="Z51" i="8"/>
  <c r="BP51" i="7"/>
  <c r="BQ51" s="1"/>
  <c r="BV51" i="8" l="1"/>
  <c r="BW51" s="1"/>
  <c r="CB51"/>
  <c r="CC51" s="1"/>
  <c r="BY51"/>
  <c r="BZ51" s="1"/>
  <c r="BS51"/>
  <c r="BT51" s="1"/>
  <c r="F51"/>
  <c r="BP51"/>
  <c r="BQ51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2" i="7" s="1"/>
  <c r="Y111" i="15"/>
  <c r="AB52" i="7" s="1"/>
  <c r="Y75" i="15"/>
  <c r="Y63"/>
  <c r="Y123"/>
  <c r="AD52" i="7" s="1"/>
  <c r="Y39" i="15"/>
  <c r="Y159"/>
  <c r="Y51"/>
  <c r="Y27"/>
  <c r="AB52" i="8"/>
  <c r="T172" i="15"/>
  <c r="Y15"/>
  <c r="Y171"/>
  <c r="Y99"/>
  <c r="Z52" i="7" s="1"/>
  <c r="Y147" i="15"/>
  <c r="Y87"/>
  <c r="X52" i="7" s="1"/>
  <c r="CW52" l="1"/>
  <c r="CX52" s="1"/>
  <c r="CT52"/>
  <c r="CU52" s="1"/>
  <c r="CQ52"/>
  <c r="CR52" s="1"/>
  <c r="CN52"/>
  <c r="CO52" s="1"/>
  <c r="CK52"/>
  <c r="CL52" s="1"/>
  <c r="CH52"/>
  <c r="CI52" s="1"/>
  <c r="AF52" i="8"/>
  <c r="CE52" s="1"/>
  <c r="CF52" s="1"/>
  <c r="CE52" i="7"/>
  <c r="CF52" s="1"/>
  <c r="BY52"/>
  <c r="BZ52" s="1"/>
  <c r="CB52"/>
  <c r="CC52" s="1"/>
  <c r="AD52" i="8"/>
  <c r="CB52" s="1"/>
  <c r="CC52" s="1"/>
  <c r="F52" i="7"/>
  <c r="BS52"/>
  <c r="BT52" s="1"/>
  <c r="X52" i="8"/>
  <c r="BV52" i="7"/>
  <c r="BW52" s="1"/>
  <c r="Z52" i="8"/>
  <c r="BV52" l="1"/>
  <c r="BW52" s="1"/>
  <c r="BY52"/>
  <c r="BZ52" s="1"/>
  <c r="F52"/>
  <c r="BS52"/>
  <c r="BT52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3" i="7" s="1"/>
  <c r="Y87" i="16"/>
  <c r="Y123"/>
  <c r="AD53" i="7" s="1"/>
  <c r="CB53" s="1"/>
  <c r="CC53" s="1"/>
  <c r="Y27" i="16"/>
  <c r="Y75"/>
  <c r="Y51"/>
  <c r="Y135"/>
  <c r="Y111"/>
  <c r="AB53" i="7" s="1"/>
  <c r="Y39" i="16"/>
  <c r="Y171"/>
  <c r="AD53" i="8"/>
  <c r="CB53" s="1"/>
  <c r="CC53" s="1"/>
  <c r="Y63" i="16"/>
  <c r="Y159"/>
  <c r="Z53" i="8"/>
  <c r="T172" i="16"/>
  <c r="Y15"/>
  <c r="BY53" i="7" l="1"/>
  <c r="BZ53" s="1"/>
  <c r="F53"/>
  <c r="BV53"/>
  <c r="BW53" s="1"/>
  <c r="AB53" i="8"/>
  <c r="BY53" s="1"/>
  <c r="BZ53" s="1"/>
  <c r="P172" i="17"/>
  <c r="T40" s="1"/>
  <c r="BV53" i="8" l="1"/>
  <c r="BW53" s="1"/>
  <c r="F53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4" i="7" s="1"/>
  <c r="Y51" i="17"/>
  <c r="Y63"/>
  <c r="Y87"/>
  <c r="Y135"/>
  <c r="AF54" i="7" s="1"/>
  <c r="T172" i="17"/>
  <c r="Y15"/>
  <c r="Y99"/>
  <c r="Y75"/>
  <c r="Y111"/>
  <c r="AB54" i="7" s="1"/>
  <c r="CW54" l="1"/>
  <c r="CX54" s="1"/>
  <c r="CT54"/>
  <c r="CU54" s="1"/>
  <c r="CQ54"/>
  <c r="CR54" s="1"/>
  <c r="CN54"/>
  <c r="CO54" s="1"/>
  <c r="CK54"/>
  <c r="CL54" s="1"/>
  <c r="CH54"/>
  <c r="CI54" s="1"/>
  <c r="CE54"/>
  <c r="CF54" s="1"/>
  <c r="AF54" i="8"/>
  <c r="CE54" s="1"/>
  <c r="CF54" s="1"/>
  <c r="AD54"/>
  <c r="CB54" i="7"/>
  <c r="CC54" s="1"/>
  <c r="BY54"/>
  <c r="BZ54" s="1"/>
  <c r="F54"/>
  <c r="AB54" i="8"/>
  <c r="P172" i="18"/>
  <c r="T76" s="1"/>
  <c r="CB54" i="8" l="1"/>
  <c r="CC54" s="1"/>
  <c r="BY54"/>
  <c r="BZ54" s="1"/>
  <c r="F54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T124"/>
  <c r="T28"/>
  <c r="T88"/>
  <c r="T40"/>
  <c r="T160"/>
  <c r="T16"/>
  <c r="T52"/>
  <c r="T136"/>
  <c r="T64"/>
  <c r="Y39" l="1"/>
  <c r="Y123"/>
  <c r="AD55" i="7" s="1"/>
  <c r="Y147" i="18"/>
  <c r="Y75"/>
  <c r="Y63"/>
  <c r="Y171"/>
  <c r="Y99"/>
  <c r="Y135"/>
  <c r="AF55" i="7" s="1"/>
  <c r="Y111" i="18"/>
  <c r="F55" i="7"/>
  <c r="AD55" i="8"/>
  <c r="CB55" i="7"/>
  <c r="CC55" s="1"/>
  <c r="Y87" i="18"/>
  <c r="Y27"/>
  <c r="Y51"/>
  <c r="Y15"/>
  <c r="T172"/>
  <c r="Y159"/>
  <c r="CW55" i="7" l="1"/>
  <c r="CX55" s="1"/>
  <c r="CT55"/>
  <c r="CU55" s="1"/>
  <c r="CQ55"/>
  <c r="CR55" s="1"/>
  <c r="CN55"/>
  <c r="CO55" s="1"/>
  <c r="CK55"/>
  <c r="CL55" s="1"/>
  <c r="CH55"/>
  <c r="CI55" s="1"/>
  <c r="AF55" i="8"/>
  <c r="CE55" s="1"/>
  <c r="CF55" s="1"/>
  <c r="CE55" i="7"/>
  <c r="CF55" s="1"/>
  <c r="F55" i="8" l="1"/>
  <c r="CB55"/>
  <c r="CC55" s="1"/>
  <c r="BV50" i="7"/>
  <c r="BW50" s="1"/>
  <c r="BS50"/>
  <c r="BT50" s="1"/>
  <c r="BY50"/>
  <c r="BZ50" s="1"/>
  <c r="V50" i="8"/>
  <c r="T50"/>
  <c r="Z50" l="1"/>
  <c r="AB50"/>
  <c r="BY50" s="1"/>
  <c r="BZ50" s="1"/>
  <c r="X50"/>
  <c r="F50" i="7"/>
  <c r="BM50"/>
  <c r="BN50" s="1"/>
  <c r="BP50"/>
  <c r="BQ50" s="1"/>
  <c r="F50" i="8" l="1"/>
  <c r="BS50"/>
  <c r="BT50" s="1"/>
  <c r="BV50"/>
  <c r="BW50" s="1"/>
  <c r="BP50"/>
  <c r="BQ50" s="1"/>
  <c r="BM50"/>
  <c r="BN50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6" i="7" s="1"/>
  <c r="Y75" i="9"/>
  <c r="V46" i="7" s="1"/>
  <c r="V46" i="8" s="1"/>
  <c r="Y99" i="9"/>
  <c r="Z46" i="7" s="1"/>
  <c r="Y39" i="9"/>
  <c r="P46" i="7" s="1"/>
  <c r="Y27" i="9"/>
  <c r="N46" i="7" s="1"/>
  <c r="Y63" i="9"/>
  <c r="T46" i="7" s="1"/>
  <c r="Y123" i="9"/>
  <c r="AD46" i="7" s="1"/>
  <c r="Y51" i="9"/>
  <c r="R46" i="7" s="1"/>
  <c r="Y135" i="9"/>
  <c r="AF46" i="7" s="1"/>
  <c r="Y111" i="9"/>
  <c r="AB46" i="7" s="1"/>
  <c r="Y147" i="9"/>
  <c r="AB46" i="8"/>
  <c r="X46"/>
  <c r="T46"/>
  <c r="AD46"/>
  <c r="Y171" i="9"/>
  <c r="T172"/>
  <c r="Y15"/>
  <c r="L46" i="7" s="1"/>
  <c r="L58" s="1"/>
  <c r="CW46" l="1"/>
  <c r="CT46"/>
  <c r="CQ46"/>
  <c r="CN46"/>
  <c r="CK46"/>
  <c r="CH46"/>
  <c r="BP46"/>
  <c r="BQ46" s="1"/>
  <c r="BJ46"/>
  <c r="BK46" s="1"/>
  <c r="BD46"/>
  <c r="BE46" s="1"/>
  <c r="N46" i="8"/>
  <c r="BG46" i="7"/>
  <c r="BH46" s="1"/>
  <c r="CB46"/>
  <c r="Z46" i="8"/>
  <c r="R46"/>
  <c r="P46"/>
  <c r="AF46"/>
  <c r="BM46" i="7"/>
  <c r="BN46" s="1"/>
  <c r="BV46"/>
  <c r="BW46" s="1"/>
  <c r="BS46"/>
  <c r="BT46" s="1"/>
  <c r="AH46" i="8"/>
  <c r="CE46" i="7"/>
  <c r="CF46" s="1"/>
  <c r="BY46"/>
  <c r="BZ46" s="1"/>
  <c r="BA46"/>
  <c r="F46"/>
  <c r="L46" i="8"/>
  <c r="CC46" i="7"/>
  <c r="CL46" l="1"/>
  <c r="CR46"/>
  <c r="CX46"/>
  <c r="CW46" i="8"/>
  <c r="CT46"/>
  <c r="CQ46"/>
  <c r="CN46"/>
  <c r="CO46" i="7"/>
  <c r="CU46"/>
  <c r="CK46" i="8"/>
  <c r="CI46" i="7"/>
  <c r="BP46" i="8"/>
  <c r="BQ46" s="1"/>
  <c r="CB46"/>
  <c r="F46"/>
  <c r="L59"/>
  <c r="BV46"/>
  <c r="BW46" s="1"/>
  <c r="BG46"/>
  <c r="BH46" s="1"/>
  <c r="BM46"/>
  <c r="BN46" s="1"/>
  <c r="BY46"/>
  <c r="BZ46" s="1"/>
  <c r="BJ46"/>
  <c r="BK46" s="1"/>
  <c r="BD46"/>
  <c r="BE46" s="1"/>
  <c r="BS46"/>
  <c r="BT46" s="1"/>
  <c r="CE46"/>
  <c r="CF46" s="1"/>
  <c r="CH46"/>
  <c r="BB46" i="7"/>
  <c r="BB58" s="1"/>
  <c r="BA58"/>
  <c r="CC46" i="8"/>
  <c r="BA46"/>
  <c r="K59" i="7"/>
  <c r="CO46" i="8" l="1"/>
  <c r="CU46"/>
  <c r="CR46"/>
  <c r="CX46"/>
  <c r="CL46"/>
  <c r="CI46"/>
  <c r="J16" i="20"/>
  <c r="J12" s="1"/>
  <c r="J17" s="1"/>
  <c r="L61" i="8"/>
  <c r="J28" i="20"/>
  <c r="BB46" i="8"/>
  <c r="BB61" s="1"/>
  <c r="BB64" s="1"/>
  <c r="BA61"/>
  <c r="P172" i="10"/>
  <c r="T99" s="1"/>
  <c r="K62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7" i="7" s="1"/>
  <c r="X58" s="1"/>
  <c r="Y99" i="10"/>
  <c r="Z47" i="7" s="1"/>
  <c r="Z58" s="1"/>
  <c r="Y123" i="10"/>
  <c r="AD47" i="7" s="1"/>
  <c r="AD58" s="1"/>
  <c r="Y75" i="10"/>
  <c r="V47" i="7" s="1"/>
  <c r="V58" s="1"/>
  <c r="Y111" i="10"/>
  <c r="AB47" i="7" s="1"/>
  <c r="AB58" s="1"/>
  <c r="Y135" i="10"/>
  <c r="AF47" i="7" s="1"/>
  <c r="Y171" i="10"/>
  <c r="Y39"/>
  <c r="P47" i="7" s="1"/>
  <c r="P58" s="1"/>
  <c r="Y159" i="10"/>
  <c r="Y27"/>
  <c r="N47" i="7" s="1"/>
  <c r="N58" s="1"/>
  <c r="Y63" i="10"/>
  <c r="T47" i="7" s="1"/>
  <c r="T58" s="1"/>
  <c r="Y51" i="10"/>
  <c r="R47" i="7" s="1"/>
  <c r="R58" s="1"/>
  <c r="Y147" i="10"/>
  <c r="AH58" i="7" s="1"/>
  <c r="CW47" l="1"/>
  <c r="CT47"/>
  <c r="CQ47"/>
  <c r="CN47"/>
  <c r="CK47"/>
  <c r="CH47"/>
  <c r="BM47"/>
  <c r="T47" i="8"/>
  <c r="T59" s="1"/>
  <c r="AB47"/>
  <c r="AB59" s="1"/>
  <c r="BY47" i="7"/>
  <c r="CB47"/>
  <c r="AD47" i="8"/>
  <c r="AD59" s="1"/>
  <c r="BS47" i="7"/>
  <c r="X47" i="8"/>
  <c r="X59" s="1"/>
  <c r="AH47"/>
  <c r="R47"/>
  <c r="R59" s="1"/>
  <c r="BJ47" i="7"/>
  <c r="BD47"/>
  <c r="N47" i="8"/>
  <c r="N59" s="1"/>
  <c r="F47" i="7"/>
  <c r="BG47"/>
  <c r="P47" i="8"/>
  <c r="P59" s="1"/>
  <c r="AF47"/>
  <c r="CE47" i="7"/>
  <c r="V47" i="8"/>
  <c r="V59" s="1"/>
  <c r="BP47" i="7"/>
  <c r="BV47"/>
  <c r="Z47" i="8"/>
  <c r="Z59" s="1"/>
  <c r="CK47" l="1"/>
  <c r="CL47" s="1"/>
  <c r="CL61" s="1"/>
  <c r="CL64" s="1"/>
  <c r="CW47"/>
  <c r="CT47"/>
  <c r="CQ47"/>
  <c r="CN47"/>
  <c r="T36" i="3"/>
  <c r="T27" s="1"/>
  <c r="T37" s="1"/>
  <c r="CL47" i="7"/>
  <c r="CR47"/>
  <c r="CX47"/>
  <c r="CO47"/>
  <c r="CU47"/>
  <c r="CK61" i="8"/>
  <c r="CK63" s="1"/>
  <c r="CL63" s="1"/>
  <c r="CI47" i="7"/>
  <c r="AH59" i="8"/>
  <c r="AH61" s="1"/>
  <c r="N16" i="20"/>
  <c r="P61" i="8"/>
  <c r="P16" i="20"/>
  <c r="P12" s="1"/>
  <c r="P17" s="1"/>
  <c r="R61" i="8"/>
  <c r="AB16" i="20"/>
  <c r="AB12" s="1"/>
  <c r="AB17" s="1"/>
  <c r="AD61" i="8"/>
  <c r="Z16" i="20"/>
  <c r="Z12" s="1"/>
  <c r="Z17" s="1"/>
  <c r="AB61" i="8"/>
  <c r="R16" i="20"/>
  <c r="R12" s="1"/>
  <c r="R17" s="1"/>
  <c r="T61" i="8"/>
  <c r="T16" i="20"/>
  <c r="T12" s="1"/>
  <c r="T17" s="1"/>
  <c r="V61" i="8"/>
  <c r="X16" i="20"/>
  <c r="X12" s="1"/>
  <c r="X17" s="1"/>
  <c r="Z61" i="8"/>
  <c r="L16" i="20"/>
  <c r="N61" i="8"/>
  <c r="V16" i="20"/>
  <c r="V12" s="1"/>
  <c r="V17" s="1"/>
  <c r="X61" i="8"/>
  <c r="R27" i="3"/>
  <c r="T61" i="1" s="1"/>
  <c r="F47" i="8"/>
  <c r="F61" s="1"/>
  <c r="BQ47" i="7"/>
  <c r="BQ58" s="1"/>
  <c r="BP58"/>
  <c r="BG58"/>
  <c r="BH47"/>
  <c r="BH58" s="1"/>
  <c r="BD58"/>
  <c r="BE47"/>
  <c r="BE58" s="1"/>
  <c r="BJ47" i="8"/>
  <c r="AG59" i="7"/>
  <c r="W59"/>
  <c r="CB47" i="8"/>
  <c r="AC59" i="7"/>
  <c r="BY47" i="8"/>
  <c r="BM47"/>
  <c r="BN47" i="7"/>
  <c r="BN58" s="1"/>
  <c r="BM58"/>
  <c r="BG47" i="8"/>
  <c r="Y59" i="7"/>
  <c r="BP47" i="8"/>
  <c r="CF47" i="7"/>
  <c r="BV47" i="8"/>
  <c r="BV58" i="7"/>
  <c r="BW47"/>
  <c r="BW58" s="1"/>
  <c r="U59"/>
  <c r="CE47" i="8"/>
  <c r="O59" i="7"/>
  <c r="M59"/>
  <c r="BD47" i="8"/>
  <c r="BK47" i="7"/>
  <c r="BK58" s="1"/>
  <c r="BJ58"/>
  <c r="Q59"/>
  <c r="CH47" i="8"/>
  <c r="BS47"/>
  <c r="BT47" i="7"/>
  <c r="BT58" s="1"/>
  <c r="BS58"/>
  <c r="CB58"/>
  <c r="CC47"/>
  <c r="CC58" s="1"/>
  <c r="BY58"/>
  <c r="BZ47"/>
  <c r="BZ58" s="1"/>
  <c r="AA59"/>
  <c r="S59"/>
  <c r="U30" i="2" l="1"/>
  <c r="U40" s="1"/>
  <c r="CO47" i="8"/>
  <c r="CO61" s="1"/>
  <c r="CO64" s="1"/>
  <c r="CN61"/>
  <c r="CN63" s="1"/>
  <c r="CO63" s="1"/>
  <c r="CU47"/>
  <c r="CU61" s="1"/>
  <c r="CU64" s="1"/>
  <c r="CT61"/>
  <c r="CT63" s="1"/>
  <c r="CU63" s="1"/>
  <c r="CR47"/>
  <c r="CR61" s="1"/>
  <c r="CR64" s="1"/>
  <c r="CQ61"/>
  <c r="CQ63" s="1"/>
  <c r="CR63" s="1"/>
  <c r="CX47"/>
  <c r="CX61" s="1"/>
  <c r="CX64" s="1"/>
  <c r="CW61"/>
  <c r="CW63" s="1"/>
  <c r="CX63" s="1"/>
  <c r="T46" i="3"/>
  <c r="R37"/>
  <c r="T58" i="1"/>
  <c r="L12" i="20"/>
  <c r="L17" s="1"/>
  <c r="L28"/>
  <c r="N12"/>
  <c r="N17" s="1"/>
  <c r="N28"/>
  <c r="M62" i="8"/>
  <c r="O62"/>
  <c r="R28" i="20"/>
  <c r="Z28"/>
  <c r="V28"/>
  <c r="X28"/>
  <c r="T28"/>
  <c r="P28"/>
  <c r="AB28"/>
  <c r="CI47" i="8"/>
  <c r="CI61" s="1"/>
  <c r="CH61"/>
  <c r="BE47"/>
  <c r="BE61" s="1"/>
  <c r="BD61"/>
  <c r="CF47"/>
  <c r="BV61"/>
  <c r="BW47"/>
  <c r="BW61" s="1"/>
  <c r="BQ47"/>
  <c r="BQ61" s="1"/>
  <c r="BP61"/>
  <c r="BG61"/>
  <c r="BH47"/>
  <c r="BH61" s="1"/>
  <c r="S62"/>
  <c r="AA62"/>
  <c r="AC62"/>
  <c r="Q62"/>
  <c r="W62"/>
  <c r="BS61"/>
  <c r="BT47"/>
  <c r="BT61" s="1"/>
  <c r="AG62"/>
  <c r="E62"/>
  <c r="Y62"/>
  <c r="U62"/>
  <c r="BN47"/>
  <c r="BN61" s="1"/>
  <c r="BM61"/>
  <c r="BY61"/>
  <c r="BZ47"/>
  <c r="BZ61" s="1"/>
  <c r="CC47"/>
  <c r="BK47"/>
  <c r="BK61" s="1"/>
  <c r="BJ61"/>
  <c r="T56" i="1" l="1"/>
  <c r="T47" l="1"/>
  <c r="T45" s="1"/>
  <c r="T74" s="1"/>
  <c r="I29"/>
  <c r="I9"/>
  <c r="I10" l="1"/>
  <c r="I74"/>
  <c r="B47" i="7" l="1"/>
  <c r="I39" i="1"/>
  <c r="I76" s="1"/>
  <c r="I78" s="1"/>
  <c r="J47"/>
  <c r="J45" l="1"/>
  <c r="J65"/>
  <c r="J86" s="1"/>
  <c r="J74"/>
  <c r="B47" i="8"/>
  <c r="B48" i="7" l="1"/>
  <c r="K31" i="1"/>
  <c r="K77"/>
  <c r="K78" s="1"/>
  <c r="K47" l="1"/>
  <c r="K45" l="1"/>
  <c r="K65"/>
  <c r="K74"/>
  <c r="B48" i="8"/>
  <c r="K86" i="1" l="1"/>
  <c r="L31"/>
  <c r="L77"/>
  <c r="L78" s="1"/>
  <c r="L47" l="1"/>
  <c r="B49" i="7"/>
  <c r="B49" i="8" s="1"/>
  <c r="L45" i="1" l="1"/>
  <c r="L65"/>
  <c r="M65" s="1"/>
  <c r="N65" s="1"/>
  <c r="O65" s="1"/>
  <c r="P65" s="1"/>
  <c r="Q65" s="1"/>
  <c r="R65" s="1"/>
  <c r="S65" s="1"/>
  <c r="T65" s="1"/>
  <c r="U65" s="1"/>
  <c r="V65" s="1"/>
  <c r="L74"/>
  <c r="B58" i="7"/>
  <c r="W65" i="1" l="1"/>
  <c r="L86"/>
  <c r="AX33" i="7"/>
  <c r="AX60"/>
  <c r="AY60"/>
  <c r="AY61"/>
  <c r="AY33"/>
  <c r="X65" i="1" l="1"/>
  <c r="M86"/>
  <c r="Q42" i="2"/>
  <c r="Y65" i="1" l="1"/>
  <c r="N86"/>
  <c r="R40" i="2"/>
  <c r="P172" i="19"/>
  <c r="T152" s="1"/>
  <c r="Z65" i="1" l="1"/>
  <c r="O86"/>
  <c r="R42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6" i="1" l="1"/>
  <c r="Y147" i="19"/>
  <c r="Y39"/>
  <c r="Y51"/>
  <c r="Y123"/>
  <c r="Y27"/>
  <c r="Y159"/>
  <c r="Y135"/>
  <c r="AF56" i="7" s="1"/>
  <c r="Y15" i="19"/>
  <c r="T172"/>
  <c r="Y63"/>
  <c r="Y87"/>
  <c r="Y75"/>
  <c r="Y111"/>
  <c r="Y99"/>
  <c r="Y171"/>
  <c r="CW56" i="7" l="1"/>
  <c r="CT56"/>
  <c r="CQ56"/>
  <c r="CN56"/>
  <c r="CK56"/>
  <c r="CH56"/>
  <c r="Q86" i="1"/>
  <c r="F56" i="7"/>
  <c r="F58" s="1"/>
  <c r="AF58"/>
  <c r="CE56"/>
  <c r="AF56" i="8"/>
  <c r="S27" i="3" s="1"/>
  <c r="S37" s="1"/>
  <c r="CL56" i="7" l="1"/>
  <c r="CL58" s="1"/>
  <c r="CK58"/>
  <c r="CK60" s="1"/>
  <c r="CR56"/>
  <c r="CR58" s="1"/>
  <c r="CQ58"/>
  <c r="CQ60" s="1"/>
  <c r="CX56"/>
  <c r="CX58" s="1"/>
  <c r="CW58"/>
  <c r="CW60" s="1"/>
  <c r="CO56"/>
  <c r="CO58" s="1"/>
  <c r="CN58"/>
  <c r="CN60" s="1"/>
  <c r="CU56"/>
  <c r="CU58" s="1"/>
  <c r="CT58"/>
  <c r="CT60" s="1"/>
  <c r="CI56"/>
  <c r="CI58" s="1"/>
  <c r="CH58"/>
  <c r="R86" i="1"/>
  <c r="CF56" i="7"/>
  <c r="CF58" s="1"/>
  <c r="CE58"/>
  <c r="E59"/>
  <c r="AF59" i="8"/>
  <c r="F56"/>
  <c r="CE56"/>
  <c r="AE59" i="7"/>
  <c r="CU61" l="1"/>
  <c r="CU60"/>
  <c r="CO60"/>
  <c r="CO61"/>
  <c r="CX60"/>
  <c r="CX61"/>
  <c r="CR61"/>
  <c r="CR60"/>
  <c r="CL61"/>
  <c r="CL60"/>
  <c r="S86" i="1"/>
  <c r="CE61" i="8"/>
  <c r="CF56"/>
  <c r="CF61" s="1"/>
  <c r="AD16" i="20"/>
  <c r="AF61" i="8"/>
  <c r="CB61"/>
  <c r="CC56"/>
  <c r="CC61" s="1"/>
  <c r="T86" i="1" l="1"/>
  <c r="AD28" i="20"/>
  <c r="AD12"/>
  <c r="AD17" s="1"/>
  <c r="AE62" i="8"/>
  <c r="E27" i="7" l="1"/>
  <c r="E60" s="1"/>
  <c r="AZ27"/>
  <c r="AZ31" s="1"/>
  <c r="K60"/>
  <c r="P172" i="21"/>
  <c r="T99" s="1"/>
  <c r="AX63" i="7" l="1"/>
  <c r="T88" i="21"/>
  <c r="T28"/>
  <c r="T4"/>
  <c r="T64"/>
  <c r="T76"/>
  <c r="T112"/>
  <c r="K33" i="7"/>
  <c r="T40" i="21"/>
  <c r="E33" i="7"/>
  <c r="T160" i="21"/>
  <c r="T167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Z60" i="7" l="1"/>
  <c r="AZ33"/>
  <c r="T172" i="21"/>
  <c r="Y15"/>
  <c r="L27" i="7" s="1"/>
  <c r="Y135" i="21"/>
  <c r="AF27" i="7" s="1"/>
  <c r="Y63" i="21"/>
  <c r="T27" i="7" s="1"/>
  <c r="Y111" i="21"/>
  <c r="AB27" i="7" s="1"/>
  <c r="Y87" i="21"/>
  <c r="X27" i="7" s="1"/>
  <c r="Y99" i="21"/>
  <c r="Z27" i="7" s="1"/>
  <c r="Y147" i="21"/>
  <c r="AH27" i="7" s="1"/>
  <c r="Y159" i="21"/>
  <c r="Y27"/>
  <c r="N27" i="7" s="1"/>
  <c r="Y171" i="21"/>
  <c r="Y51"/>
  <c r="R27" i="7" s="1"/>
  <c r="Y123" i="21"/>
  <c r="AD27" i="7" s="1"/>
  <c r="Y75" i="21"/>
  <c r="V27" i="7" s="1"/>
  <c r="Y39" i="21"/>
  <c r="P27" i="7" s="1"/>
  <c r="AF27" i="8" l="1"/>
  <c r="CE27" i="7"/>
  <c r="AF31"/>
  <c r="CH27"/>
  <c r="AH27" i="8"/>
  <c r="AH31" i="7"/>
  <c r="V27" i="8"/>
  <c r="V31" s="1"/>
  <c r="V31" i="7"/>
  <c r="N27" i="8"/>
  <c r="N31" s="1"/>
  <c r="N31" i="7"/>
  <c r="X27" i="8"/>
  <c r="X31" s="1"/>
  <c r="X31" i="7"/>
  <c r="T27" i="8"/>
  <c r="T31" s="1"/>
  <c r="T31" i="7"/>
  <c r="P27" i="8"/>
  <c r="P31" s="1"/>
  <c r="P31" i="7"/>
  <c r="AD27" i="8"/>
  <c r="AD31" s="1"/>
  <c r="AD31" i="7"/>
  <c r="Z27" i="8"/>
  <c r="Z31" s="1"/>
  <c r="Z31" i="7"/>
  <c r="AB27" i="8"/>
  <c r="AB31" s="1"/>
  <c r="AB31" i="7"/>
  <c r="R27" i="8"/>
  <c r="R31" s="1"/>
  <c r="R31" i="7"/>
  <c r="L27" i="8"/>
  <c r="L31" s="1"/>
  <c r="L31" i="7"/>
  <c r="BP27" i="8"/>
  <c r="BP31" s="1"/>
  <c r="BQ31" s="1"/>
  <c r="BG27" i="7"/>
  <c r="BG31" s="1"/>
  <c r="CB27"/>
  <c r="CB31" s="1"/>
  <c r="BV27"/>
  <c r="BV31" s="1"/>
  <c r="BY27"/>
  <c r="BY31" s="1"/>
  <c r="BP27"/>
  <c r="BP31" s="1"/>
  <c r="BJ27"/>
  <c r="BJ31" s="1"/>
  <c r="BD27"/>
  <c r="BD31" s="1"/>
  <c r="BS27"/>
  <c r="BS31" s="1"/>
  <c r="BM27"/>
  <c r="BM31" s="1"/>
  <c r="F27"/>
  <c r="BA27"/>
  <c r="BA31" s="1"/>
  <c r="CH27" i="8" l="1"/>
  <c r="AH31"/>
  <c r="AF33" i="7"/>
  <c r="AE34" s="1"/>
  <c r="AE32"/>
  <c r="AF60"/>
  <c r="AF61" s="1"/>
  <c r="CE27" i="8"/>
  <c r="AF31"/>
  <c r="AG32" i="7"/>
  <c r="AH33"/>
  <c r="AG34" s="1"/>
  <c r="AH60"/>
  <c r="AH61" s="1"/>
  <c r="CI27"/>
  <c r="CI31" s="1"/>
  <c r="CH31"/>
  <c r="CF27"/>
  <c r="CF31" s="1"/>
  <c r="CE31"/>
  <c r="BA27" i="8"/>
  <c r="BA31" s="1"/>
  <c r="BG27"/>
  <c r="BS27"/>
  <c r="BS31" s="1"/>
  <c r="BT31" s="1"/>
  <c r="BV27"/>
  <c r="BV31" s="1"/>
  <c r="BW31" s="1"/>
  <c r="F27"/>
  <c r="BM27"/>
  <c r="BM31" s="1"/>
  <c r="BN31" s="1"/>
  <c r="BJ27"/>
  <c r="BJ31" s="1"/>
  <c r="BK31" s="1"/>
  <c r="BY27"/>
  <c r="BY31" s="1"/>
  <c r="BZ31" s="1"/>
  <c r="CB27"/>
  <c r="CB31" s="1"/>
  <c r="CC31" s="1"/>
  <c r="BD27"/>
  <c r="BD31" s="1"/>
  <c r="R9" i="20"/>
  <c r="S32" i="8"/>
  <c r="T33"/>
  <c r="T63"/>
  <c r="BT27"/>
  <c r="N33"/>
  <c r="M34" s="1"/>
  <c r="M32"/>
  <c r="N63"/>
  <c r="L9" i="20"/>
  <c r="BZ27" i="8"/>
  <c r="BW27"/>
  <c r="CC27"/>
  <c r="BQ27"/>
  <c r="K32"/>
  <c r="L63"/>
  <c r="J9" i="20"/>
  <c r="L33" i="8"/>
  <c r="K34" s="1"/>
  <c r="BB27"/>
  <c r="BN27"/>
  <c r="X33"/>
  <c r="W34" s="1"/>
  <c r="V9" i="20"/>
  <c r="W32" i="8"/>
  <c r="X63"/>
  <c r="BE27"/>
  <c r="Q32"/>
  <c r="P9" i="20"/>
  <c r="R63" i="8"/>
  <c r="R33"/>
  <c r="Q34" s="1"/>
  <c r="AA32"/>
  <c r="Z9" i="20"/>
  <c r="AB33" i="8"/>
  <c r="AA34" s="1"/>
  <c r="AB63"/>
  <c r="Y32"/>
  <c r="Z33"/>
  <c r="Y34" s="1"/>
  <c r="X9" i="20"/>
  <c r="Z63" i="8"/>
  <c r="AD33"/>
  <c r="AC34" s="1"/>
  <c r="AB9" i="20"/>
  <c r="AD63" i="8"/>
  <c r="AC32"/>
  <c r="V33"/>
  <c r="U34" s="1"/>
  <c r="U32"/>
  <c r="V63"/>
  <c r="T9" i="20"/>
  <c r="BB27" i="7"/>
  <c r="BB31" s="1"/>
  <c r="L60"/>
  <c r="L61" s="1"/>
  <c r="L33"/>
  <c r="K34" s="1"/>
  <c r="K32"/>
  <c r="T33"/>
  <c r="T60"/>
  <c r="T61" s="1"/>
  <c r="S32"/>
  <c r="X33"/>
  <c r="W34" s="1"/>
  <c r="X60"/>
  <c r="X61" s="1"/>
  <c r="W32"/>
  <c r="M32"/>
  <c r="N33"/>
  <c r="M34" s="1"/>
  <c r="N60"/>
  <c r="N61" s="1"/>
  <c r="BK27"/>
  <c r="BK31" s="1"/>
  <c r="U32"/>
  <c r="V33"/>
  <c r="U34" s="1"/>
  <c r="V60"/>
  <c r="V61" s="1"/>
  <c r="BZ27"/>
  <c r="BZ31" s="1"/>
  <c r="Y32"/>
  <c r="Z33"/>
  <c r="Y34" s="1"/>
  <c r="Z60"/>
  <c r="Z61" s="1"/>
  <c r="CC27"/>
  <c r="CC31" s="1"/>
  <c r="P60"/>
  <c r="P61" s="1"/>
  <c r="P33"/>
  <c r="O34" s="1"/>
  <c r="O32"/>
  <c r="F60"/>
  <c r="F61" s="1"/>
  <c r="F33"/>
  <c r="F34" s="1"/>
  <c r="E32"/>
  <c r="BN27"/>
  <c r="BN31" s="1"/>
  <c r="BT27"/>
  <c r="BT31" s="1"/>
  <c r="BE27"/>
  <c r="BE31" s="1"/>
  <c r="R33"/>
  <c r="Q34" s="1"/>
  <c r="R60"/>
  <c r="R61" s="1"/>
  <c r="Q32"/>
  <c r="BQ27"/>
  <c r="BQ31" s="1"/>
  <c r="AB33"/>
  <c r="AA34" s="1"/>
  <c r="AA32"/>
  <c r="AB60"/>
  <c r="AB61" s="1"/>
  <c r="BW27"/>
  <c r="BW31" s="1"/>
  <c r="AD60"/>
  <c r="AD61" s="1"/>
  <c r="AC32"/>
  <c r="AD33"/>
  <c r="AC34" s="1"/>
  <c r="BH27"/>
  <c r="BH31" s="1"/>
  <c r="CF33" l="1"/>
  <c r="CF60"/>
  <c r="CF61"/>
  <c r="CI33"/>
  <c r="CI60"/>
  <c r="CI61"/>
  <c r="AF33" i="8"/>
  <c r="AE34" s="1"/>
  <c r="AE32"/>
  <c r="AD9" i="20"/>
  <c r="AF63" i="8"/>
  <c r="CI27"/>
  <c r="CH31"/>
  <c r="CE33" i="7"/>
  <c r="CE60"/>
  <c r="CH33"/>
  <c r="CH60"/>
  <c r="CF27" i="8"/>
  <c r="CE31"/>
  <c r="AH33"/>
  <c r="AG34" s="1"/>
  <c r="AG32"/>
  <c r="AH63"/>
  <c r="BK27"/>
  <c r="BH27"/>
  <c r="V64"/>
  <c r="M39" i="3"/>
  <c r="AD64" i="8"/>
  <c r="Q39" i="3"/>
  <c r="X26" i="20"/>
  <c r="X6"/>
  <c r="X11" s="1"/>
  <c r="X24" s="1"/>
  <c r="K39" i="3"/>
  <c r="R64" i="8"/>
  <c r="BN33"/>
  <c r="BN64"/>
  <c r="BA33"/>
  <c r="BA63"/>
  <c r="BB63" s="1"/>
  <c r="J26" i="20"/>
  <c r="J6"/>
  <c r="J11" s="1"/>
  <c r="J24" s="1"/>
  <c r="CC33" i="8"/>
  <c r="CC64"/>
  <c r="BW33"/>
  <c r="BW64"/>
  <c r="BZ33"/>
  <c r="BZ64"/>
  <c r="BJ33"/>
  <c r="BJ63"/>
  <c r="BK63" s="1"/>
  <c r="N64"/>
  <c r="I39" i="3"/>
  <c r="BS33" i="8"/>
  <c r="BS63"/>
  <c r="BT63" s="1"/>
  <c r="R26" i="20"/>
  <c r="R6"/>
  <c r="R11" s="1"/>
  <c r="R24" s="1"/>
  <c r="T26"/>
  <c r="T6"/>
  <c r="T11" s="1"/>
  <c r="T24" s="1"/>
  <c r="AB6"/>
  <c r="AB11" s="1"/>
  <c r="AB24" s="1"/>
  <c r="AB26"/>
  <c r="O39" i="3"/>
  <c r="Z64" i="8"/>
  <c r="AB64"/>
  <c r="P39" i="3"/>
  <c r="Z6" i="20"/>
  <c r="Z11" s="1"/>
  <c r="Z24" s="1"/>
  <c r="Z26"/>
  <c r="P6"/>
  <c r="P11" s="1"/>
  <c r="P24" s="1"/>
  <c r="P26"/>
  <c r="BD33" i="8"/>
  <c r="BD63"/>
  <c r="BE63" s="1"/>
  <c r="BE31"/>
  <c r="X64"/>
  <c r="N39" i="3"/>
  <c r="V6" i="20"/>
  <c r="V11" s="1"/>
  <c r="V24" s="1"/>
  <c r="V26"/>
  <c r="BM63" i="8"/>
  <c r="BN63" s="1"/>
  <c r="BM33"/>
  <c r="L64"/>
  <c r="H39" i="3"/>
  <c r="J20" i="1" s="1"/>
  <c r="BP33" i="8"/>
  <c r="BP63"/>
  <c r="BQ63" s="1"/>
  <c r="CB33"/>
  <c r="CB63"/>
  <c r="CC63" s="1"/>
  <c r="BV33"/>
  <c r="BV63"/>
  <c r="BW63" s="1"/>
  <c r="BY33"/>
  <c r="BY63"/>
  <c r="BZ63" s="1"/>
  <c r="BK33"/>
  <c r="BK64"/>
  <c r="L6" i="20"/>
  <c r="L11" s="1"/>
  <c r="L24" s="1"/>
  <c r="L26"/>
  <c r="BT33" i="8"/>
  <c r="BT64"/>
  <c r="T64"/>
  <c r="L39" i="3"/>
  <c r="BH60" i="7"/>
  <c r="BH61"/>
  <c r="BH33"/>
  <c r="BV33"/>
  <c r="BV60"/>
  <c r="BP60"/>
  <c r="BP33"/>
  <c r="BD60"/>
  <c r="BD33"/>
  <c r="BS60"/>
  <c r="BS33"/>
  <c r="BN33"/>
  <c r="BN61"/>
  <c r="BN60"/>
  <c r="CC61"/>
  <c r="CC60"/>
  <c r="CC33"/>
  <c r="BZ60"/>
  <c r="BZ61"/>
  <c r="BZ33"/>
  <c r="BK60"/>
  <c r="BK33"/>
  <c r="BK61"/>
  <c r="BA60"/>
  <c r="BA33"/>
  <c r="BG60"/>
  <c r="BG33"/>
  <c r="BW61"/>
  <c r="BW33"/>
  <c r="BW60"/>
  <c r="BQ60"/>
  <c r="BQ61"/>
  <c r="BQ33"/>
  <c r="BE60"/>
  <c r="BE33"/>
  <c r="BE61"/>
  <c r="BT33"/>
  <c r="BT60"/>
  <c r="BT61"/>
  <c r="BM60"/>
  <c r="BM33"/>
  <c r="CB33"/>
  <c r="CB60"/>
  <c r="BY60"/>
  <c r="BY33"/>
  <c r="BJ60"/>
  <c r="BJ33"/>
  <c r="BB33"/>
  <c r="BB60"/>
  <c r="BB61"/>
  <c r="F29" i="8"/>
  <c r="F31" s="1"/>
  <c r="BG29"/>
  <c r="BH29" s="1"/>
  <c r="O32"/>
  <c r="S39" i="3" l="1"/>
  <c r="AH64" i="8"/>
  <c r="AD26" i="20"/>
  <c r="AD6"/>
  <c r="AD11" s="1"/>
  <c r="AD24" s="1"/>
  <c r="CF31" i="8"/>
  <c r="CE33"/>
  <c r="CE63"/>
  <c r="CF63" s="1"/>
  <c r="CH33"/>
  <c r="CI31"/>
  <c r="CH63"/>
  <c r="CI63" s="1"/>
  <c r="AF64"/>
  <c r="R39" i="3"/>
  <c r="BG31" i="8"/>
  <c r="BG33" s="1"/>
  <c r="N20" i="1"/>
  <c r="L46" i="3"/>
  <c r="L55" s="1"/>
  <c r="L57"/>
  <c r="H46"/>
  <c r="H55" s="1"/>
  <c r="H57"/>
  <c r="N57"/>
  <c r="P20" i="1"/>
  <c r="N46" i="3"/>
  <c r="N55" s="1"/>
  <c r="BE64" i="8"/>
  <c r="BE33"/>
  <c r="O57" i="3"/>
  <c r="O46"/>
  <c r="O55" s="1"/>
  <c r="Q20" i="1"/>
  <c r="K46" i="3"/>
  <c r="K55" s="1"/>
  <c r="M20" i="1"/>
  <c r="K57" i="3"/>
  <c r="BQ64" i="8"/>
  <c r="BQ33"/>
  <c r="R20" i="1"/>
  <c r="P46" i="3"/>
  <c r="P55" s="1"/>
  <c r="P57"/>
  <c r="I57"/>
  <c r="I46"/>
  <c r="I55" s="1"/>
  <c r="K20" i="1"/>
  <c r="Q57" i="3"/>
  <c r="Q46"/>
  <c r="Q55" s="1"/>
  <c r="S20" i="1"/>
  <c r="S91" s="1"/>
  <c r="O20"/>
  <c r="M46" i="3"/>
  <c r="M55" s="1"/>
  <c r="M57"/>
  <c r="E32" i="8"/>
  <c r="F63"/>
  <c r="F64" s="1"/>
  <c r="F33"/>
  <c r="P33"/>
  <c r="O34" s="1"/>
  <c r="P63"/>
  <c r="N9" i="20"/>
  <c r="CI33" i="8" l="1"/>
  <c r="CI64"/>
  <c r="CF33"/>
  <c r="CF64"/>
  <c r="U20" i="1"/>
  <c r="S46" i="3"/>
  <c r="T20" i="1"/>
  <c r="R46" i="3"/>
  <c r="R55" s="1"/>
  <c r="R57"/>
  <c r="O84" i="1"/>
  <c r="O91"/>
  <c r="O92" s="1"/>
  <c r="K84"/>
  <c r="K91"/>
  <c r="K92" s="1"/>
  <c r="N84"/>
  <c r="N91"/>
  <c r="N92" s="1"/>
  <c r="S84"/>
  <c r="S92"/>
  <c r="R84"/>
  <c r="R91"/>
  <c r="R92" s="1"/>
  <c r="M84"/>
  <c r="M91"/>
  <c r="M92" s="1"/>
  <c r="Q84"/>
  <c r="Q91"/>
  <c r="Q92" s="1"/>
  <c r="P84"/>
  <c r="P91"/>
  <c r="P92" s="1"/>
  <c r="J91"/>
  <c r="J92" s="1"/>
  <c r="J84"/>
  <c r="BH31" i="8"/>
  <c r="BH33" s="1"/>
  <c r="BG63"/>
  <c r="BH63" s="1"/>
  <c r="N26" i="20"/>
  <c r="N6"/>
  <c r="N11" s="1"/>
  <c r="N24" s="1"/>
  <c r="BH64" i="8"/>
  <c r="P64"/>
  <c r="J39" i="3"/>
  <c r="T91" i="1" l="1"/>
  <c r="T92" s="1"/>
  <c r="T84"/>
  <c r="J57" i="3"/>
  <c r="L20" i="1"/>
  <c r="J46" i="3"/>
  <c r="J55" s="1"/>
  <c r="L84" i="1" l="1"/>
  <c r="L91"/>
  <c r="L92" s="1"/>
  <c r="U22"/>
  <c r="S49" i="3"/>
  <c r="S53" s="1"/>
  <c r="U8" i="1"/>
  <c r="V22"/>
  <c r="AB12"/>
  <c r="U84" l="1"/>
  <c r="S41" i="2"/>
  <c r="S42" s="1"/>
  <c r="T53" i="3"/>
  <c r="AC12" i="1"/>
  <c r="AB8"/>
  <c r="U10"/>
  <c r="AB93"/>
  <c r="AC93"/>
  <c r="AB22"/>
  <c r="U86"/>
  <c r="V8"/>
  <c r="U91"/>
  <c r="U92" s="1"/>
  <c r="W93"/>
  <c r="V93"/>
  <c r="S48" i="3"/>
  <c r="U74" i="1"/>
  <c r="T48" i="3" l="1"/>
  <c r="T41" i="2"/>
  <c r="T42" s="1"/>
  <c r="AB52" i="1"/>
  <c r="AB50" s="1"/>
  <c r="AB47" s="1"/>
  <c r="AB45" s="1"/>
  <c r="U40"/>
  <c r="U39" s="1"/>
  <c r="U78" s="1"/>
  <c r="S55" i="3"/>
  <c r="S57"/>
  <c r="W22" i="1"/>
  <c r="W8"/>
  <c r="V74"/>
  <c r="V91"/>
  <c r="V92" s="1"/>
  <c r="V10"/>
  <c r="V40" s="1"/>
  <c r="V39" s="1"/>
  <c r="V78" s="1"/>
  <c r="V84"/>
  <c r="V86"/>
  <c r="AC22"/>
  <c r="AC8"/>
  <c r="AD93" s="1"/>
  <c r="AD12"/>
  <c r="AB91"/>
  <c r="AB92" s="1"/>
  <c r="AB10"/>
  <c r="AB86"/>
  <c r="T58" i="3"/>
  <c r="X93" i="1" l="1"/>
  <c r="U48" i="3"/>
  <c r="U41" i="2"/>
  <c r="U42" s="1"/>
  <c r="AD22" i="1"/>
  <c r="V49" i="3"/>
  <c r="AD8" i="1"/>
  <c r="AE12"/>
  <c r="T57" i="3"/>
  <c r="T55"/>
  <c r="AB41" i="1"/>
  <c r="AB39" s="1"/>
  <c r="AB76" s="1"/>
  <c r="AB78" s="1"/>
  <c r="AC52"/>
  <c r="AC50" s="1"/>
  <c r="AC47" s="1"/>
  <c r="AC45" s="1"/>
  <c r="V58" i="3"/>
  <c r="AC10" i="1"/>
  <c r="AC86"/>
  <c r="AC91"/>
  <c r="AC92" s="1"/>
  <c r="U58" i="3"/>
  <c r="U53"/>
  <c r="X8" i="1"/>
  <c r="Y93" s="1"/>
  <c r="X22"/>
  <c r="W84"/>
  <c r="W91"/>
  <c r="W92" s="1"/>
  <c r="W86"/>
  <c r="W74"/>
  <c r="W10"/>
  <c r="W40" s="1"/>
  <c r="W39" s="1"/>
  <c r="W78" s="1"/>
  <c r="Y8" l="1"/>
  <c r="Z93" s="1"/>
  <c r="Y22"/>
  <c r="AC41"/>
  <c r="AC39" s="1"/>
  <c r="AC76" s="1"/>
  <c r="AC78" s="1"/>
  <c r="AD52"/>
  <c r="AD50" s="1"/>
  <c r="AD47" s="1"/>
  <c r="AD45" s="1"/>
  <c r="AD91"/>
  <c r="AD92" s="1"/>
  <c r="AD10"/>
  <c r="AD86"/>
  <c r="V48" i="3"/>
  <c r="AE93" i="1"/>
  <c r="X84"/>
  <c r="X91"/>
  <c r="X92" s="1"/>
  <c r="X10"/>
  <c r="X40" s="1"/>
  <c r="X39" s="1"/>
  <c r="X76" s="1"/>
  <c r="X78" s="1"/>
  <c r="X74"/>
  <c r="X86"/>
  <c r="U55" i="3"/>
  <c r="U57"/>
  <c r="W49"/>
  <c r="W53" s="1"/>
  <c r="AE22" i="1"/>
  <c r="AF93"/>
  <c r="AE8"/>
  <c r="AF12"/>
  <c r="V53" i="3"/>
  <c r="AE91" i="1" l="1"/>
  <c r="AE10"/>
  <c r="AE86"/>
  <c r="W48" i="3"/>
  <c r="V57"/>
  <c r="V55"/>
  <c r="W58"/>
  <c r="AE52" i="1"/>
  <c r="AE50" s="1"/>
  <c r="AE47" s="1"/>
  <c r="AE45" s="1"/>
  <c r="AD41"/>
  <c r="AD39" s="1"/>
  <c r="AD76" s="1"/>
  <c r="AD78" s="1"/>
  <c r="AF22"/>
  <c r="X49" i="3"/>
  <c r="X53" s="1"/>
  <c r="AF8" i="1"/>
  <c r="AG12"/>
  <c r="Z22"/>
  <c r="Z8"/>
  <c r="Y84"/>
  <c r="Y91"/>
  <c r="Y92" s="1"/>
  <c r="Y10"/>
  <c r="Y39" s="1"/>
  <c r="Y76" s="1"/>
  <c r="Y78" s="1"/>
  <c r="Y74"/>
  <c r="Y86"/>
  <c r="AE92"/>
  <c r="AG22" l="1"/>
  <c r="AG8"/>
  <c r="AF91"/>
  <c r="AF92" s="1"/>
  <c r="X48" i="3"/>
  <c r="AF10" i="1"/>
  <c r="AF86"/>
  <c r="W55" i="3"/>
  <c r="W57"/>
  <c r="X58"/>
  <c r="AF52" i="1"/>
  <c r="AF50" s="1"/>
  <c r="AF47" s="1"/>
  <c r="AF45" s="1"/>
  <c r="AE41"/>
  <c r="AE39" s="1"/>
  <c r="AE76" s="1"/>
  <c r="AE78" s="1"/>
  <c r="AG93"/>
  <c r="Z74"/>
  <c r="Z84"/>
  <c r="Z91"/>
  <c r="Z92" s="1"/>
  <c r="Z86"/>
  <c r="Z10"/>
  <c r="Z39" s="1"/>
  <c r="Z76" s="1"/>
  <c r="Z78" s="1"/>
  <c r="AF41" l="1"/>
  <c r="AF39" s="1"/>
  <c r="AF76" s="1"/>
  <c r="AF78" s="1"/>
  <c r="AG52"/>
  <c r="AG50" s="1"/>
  <c r="AG47" s="1"/>
  <c r="AG45" s="1"/>
  <c r="X55" i="3"/>
  <c r="X57"/>
  <c r="AG91" i="1"/>
  <c r="AG10"/>
  <c r="AG92"/>
  <c r="AG41" l="1"/>
  <c r="AG39" s="1"/>
  <c r="AG76" s="1"/>
  <c r="AG78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<sst xmlns="http://schemas.openxmlformats.org/spreadsheetml/2006/main" count="4778" uniqueCount="489">
  <si>
    <t>Wyszczególnienie</t>
  </si>
  <si>
    <t>– kredytów</t>
  </si>
  <si>
    <t>– pożyczek</t>
  </si>
  <si>
    <t>– sprzedaży papierów wartościowych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</si>
  <si>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</si>
  <si>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</si>
  <si>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</si>
  <si>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</si>
  <si>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</si>
  <si>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</si>
  <si>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</si>
  <si>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</si>
  <si>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</si>
  <si>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</si>
  <si>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</si>
  <si>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</si>
  <si>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</si>
  <si>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</si>
  <si>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</si>
  <si>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</si>
  <si>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</si>
  <si>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</si>
  <si>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</si>
  <si>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</si>
  <si>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</si>
  <si>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</si>
  <si>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</si>
  <si>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</si>
  <si>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</si>
  <si>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</si>
  <si>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</si>
  <si>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</si>
  <si>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</si>
  <si>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</si>
  <si>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</si>
  <si>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</si>
  <si>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</si>
  <si>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</si>
  <si>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</si>
  <si>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</si>
  <si>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</si>
  <si>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</si>
  <si>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</si>
  <si>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</si>
  <si>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</si>
  <si>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</si>
  <si>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</si>
  <si>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</si>
  <si>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</si>
  <si>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</si>
  <si>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</si>
  <si>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</si>
  <si>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</si>
  <si>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</si>
  <si>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</si>
  <si>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</si>
  <si>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</si>
  <si>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</si>
  <si>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</si>
  <si>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</si>
  <si>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</si>
  <si>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</si>
  <si>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</si>
  <si>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</si>
  <si>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</si>
  <si>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</si>
  <si>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</si>
  <si>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</si>
  <si>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</si>
  <si>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</si>
  <si>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</si>
  <si>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</si>
  <si>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</si>
  <si>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</si>
  <si>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</si>
  <si>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</si>
  <si>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</si>
  <si>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</si>
  <si>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</si>
  <si>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</si>
  <si>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</si>
  <si>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</si>
  <si>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</si>
  <si>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</si>
  <si>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</si>
  <si>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</si>
  <si>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</si>
  <si>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</si>
  <si>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</si>
  <si>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</si>
  <si>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</si>
  <si>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</si>
  <si>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</si>
  <si>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</si>
  <si>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</si>
  <si>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</si>
  <si>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</si>
  <si>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</si>
  <si>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</si>
  <si>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</si>
  <si>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</si>
  <si>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</si>
  <si>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</si>
  <si>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</si>
  <si>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</si>
  <si>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</si>
  <si>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</si>
  <si>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</si>
  <si>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</si>
  <si>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</si>
  <si>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</si>
  <si>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</si>
  <si>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</si>
  <si>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</si>
  <si>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</si>
  <si>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</si>
  <si>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</si>
  <si>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</si>
  <si>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</si>
  <si>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</si>
  <si>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</si>
  <si>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</si>
  <si>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</si>
  <si>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</si>
  <si>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</si>
  <si>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</si>
  <si>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</si>
  <si>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</si>
  <si>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</si>
  <si>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</si>
  <si>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</si>
  <si>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</si>
  <si>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</si>
  <si>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</si>
  <si>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</si>
  <si>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</si>
  <si>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</si>
  <si>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</si>
  <si>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</si>
  <si>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</si>
  <si>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</si>
  <si>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</si>
  <si>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</si>
  <si>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</si>
  <si>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</si>
  <si>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</si>
  <si>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</si>
  <si>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</si>
  <si>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</si>
  <si>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</si>
  <si>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</si>
  <si>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</si>
  <si>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</si>
  <si>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</si>
  <si>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</si>
  <si>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</si>
  <si>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</si>
  <si>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</si>
  <si>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</si>
  <si>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</si>
  <si>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</si>
  <si>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</si>
  <si>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</si>
  <si>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</si>
  <si>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</si>
  <si>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</si>
  <si>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</si>
  <si>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</si>
  <si>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</si>
  <si>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</si>
  <si>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</si>
  <si>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</si>
  <si>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</si>
  <si>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</si>
  <si>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</si>
  <si>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</si>
  <si>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</si>
  <si>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</si>
  <si>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</si>
  <si>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</si>
  <si>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</si>
  <si>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</si>
  <si>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</si>
  <si>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</si>
  <si>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</si>
  <si>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</si>
  <si>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</si>
  <si>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</si>
  <si>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</si>
  <si>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</si>
  <si>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</si>
  <si>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</si>
  <si>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</si>
  <si>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</si>
  <si>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</si>
  <si>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</si>
  <si>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</si>
  <si>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</si>
  <si>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</si>
  <si>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</si>
  <si>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</si>
  <si>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</si>
  <si>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</si>
  <si>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</si>
  <si>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</si>
  <si>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</si>
  <si>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</si>
  <si>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</si>
  <si>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</si>
  <si>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</si>
  <si>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</si>
  <si>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</si>
  <si>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</si>
  <si>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</si>
  <si>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</si>
  <si>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</si>
  <si>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</si>
  <si>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</si>
  <si>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</si>
  <si>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</si>
  <si>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</si>
  <si>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</si>
  <si>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</si>
  <si>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</si>
  <si>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</si>
  <si>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</si>
  <si>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</si>
  <si>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</si>
  <si>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</si>
  <si>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</si>
  <si>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</si>
  <si>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</si>
  <si>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</si>
  <si>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</si>
  <si>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</si>
  <si>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</si>
  <si>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</si>
  <si>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</si>
  <si>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>Nordea Bank 2010</t>
  </si>
  <si>
    <t>3.6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</si>
  <si>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</si>
  <si>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</si>
  <si>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</si>
  <si>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</si>
  <si>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</si>
  <si>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</si>
  <si>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</si>
  <si>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</si>
  <si>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</si>
  <si>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</si>
  <si>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</si>
  <si>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</si>
  <si>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</si>
  <si>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</si>
  <si>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</si>
  <si>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</si>
  <si>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</si>
  <si>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</si>
  <si>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</si>
  <si>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</si>
  <si>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</si>
  <si>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</si>
  <si>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</si>
  <si>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</si>
  <si>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</si>
  <si>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</si>
  <si>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</si>
  <si>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</si>
  <si>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</si>
  <si>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</si>
  <si>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</si>
  <si>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</si>
  <si>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</si>
  <si>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</si>
  <si>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</si>
  <si>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</si>
  <si>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</si>
  <si>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</si>
  <si>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</si>
  <si>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</si>
  <si>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</si>
  <si>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</si>
  <si>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</si>
  <si>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</si>
  <si>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</si>
  <si>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</si>
  <si>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</si>
  <si>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</si>
  <si>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</si>
  <si>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</si>
  <si>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</si>
  <si>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</si>
  <si>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</si>
  <si>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</si>
  <si>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</si>
  <si>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</si>
  <si>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</si>
  <si>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</si>
  <si>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</si>
  <si>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</si>
  <si>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</si>
  <si>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</si>
  <si>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</si>
  <si>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</si>
  <si>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</si>
  <si>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</si>
  <si>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</si>
  <si>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</si>
  <si>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</si>
  <si>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</si>
  <si>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</si>
  <si>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</si>
  <si>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</si>
  <si>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</si>
  <si>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</si>
  <si>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</si>
  <si>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</si>
  <si>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</si>
  <si>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</si>
  <si>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</si>
  <si>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</si>
  <si>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</si>
  <si>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</si>
  <si>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</si>
  <si>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</si>
  <si>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</si>
  <si>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</si>
  <si>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</si>
  <si>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</si>
  <si>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</si>
  <si>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</si>
  <si>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</si>
  <si>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</si>
  <si>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</si>
  <si>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</si>
  <si>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</si>
  <si>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</si>
  <si>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</si>
  <si>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</si>
  <si>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</si>
  <si>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</si>
  <si>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</si>
  <si>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</si>
  <si>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</si>
  <si>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Wykonanie</t>
  </si>
  <si>
    <t>Promocja jednostek samorządu terytorialnego</t>
  </si>
  <si>
    <t>Gospodarka komunalna i ochrona środowiska</t>
  </si>
  <si>
    <t>Gospodarka odpadami</t>
  </si>
  <si>
    <t>Wieloletnia Prognoza Finansowa</t>
  </si>
  <si>
    <t>Urząd Miejski w Świętochlowicach                       Wydział Inwestycji i Remontów</t>
  </si>
  <si>
    <t>Urząd Miejski w Świętochlowicach                     Wydział Dróg i Mostów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</si>
  <si>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</si>
  <si>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</si>
  <si>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</si>
  <si>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</si>
  <si>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</si>
  <si>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</si>
  <si>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</si>
  <si>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</si>
  <si>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</si>
  <si>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</si>
  <si>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</si>
  <si>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</si>
  <si>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</si>
  <si>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 xml:space="preserve">podpis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</si>
  <si>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</si>
  <si>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</si>
  <si>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</si>
  <si>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</si>
  <si>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</si>
  <si>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</si>
  <si>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</t>
  </si>
  <si>
    <t>2014 -</t>
  </si>
  <si>
    <t>2015 -</t>
  </si>
  <si>
    <t>Urząd Miejski w Świętochlowicach                              Wydział Gospodarki Miejskiej i Ekologii</t>
  </si>
  <si>
    <t>pożyczka jessica</t>
  </si>
  <si>
    <t>kredyt jessica 2013</t>
  </si>
  <si>
    <t>Kultura fizyczna</t>
  </si>
  <si>
    <t>Urząd Miejski w Świętochlowicach                                                            Wydzial Inwestycji i Remontów</t>
  </si>
  <si>
    <t xml:space="preserve">Środki budżetu Miasta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</si>
  <si>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</si>
  <si>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</si>
  <si>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</si>
  <si>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</si>
  <si>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</si>
  <si>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</si>
  <si>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</si>
  <si>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Obsługa komunikacyjna terenów przemysłowych w Świętochłowicach usytuowanych po południowej stronie DTŚ w rejonie stawu Marcina</t>
  </si>
  <si>
    <t xml:space="preserve">Środki z budżetu UE </t>
  </si>
  <si>
    <t>Przebudowa ul. Chorzowskiej na odcinku od pl. Słowiańskiego do skrzyżowania z ul. Bukowego - etap II</t>
  </si>
  <si>
    <t>Środki zewnętrzne: z budżetu UE, Budżetu Państwa, inne</t>
  </si>
  <si>
    <t>Aktywny i twórczy senior</t>
  </si>
  <si>
    <t>Ośrodek Pomocy Społecznej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</si>
  <si>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</si>
  <si>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</si>
  <si>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</si>
  <si>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</si>
  <si>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</si>
  <si>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</si>
  <si>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Współfinansowanie                                       z budżetu Państwa</t>
  </si>
  <si>
    <t>Współfinansowanie                                    z budżetu Miasta</t>
  </si>
  <si>
    <t>Współfinansowanie                        z budżetu Państwa</t>
  </si>
  <si>
    <t>Srodki budżetu miasta</t>
  </si>
  <si>
    <t>Współfinansowanie                                 z budżetu Państwa</t>
  </si>
  <si>
    <t>Współfinansowanie                                    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</si>
  <si>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</si>
  <si>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</si>
  <si>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</si>
  <si>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</si>
  <si>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Zadania unwestycyjne w tym wykonanie projektów budowlano-wykonawczych i budowa miejsc parkingowych na terenie miasta</t>
  </si>
  <si>
    <t>Obsługa komunikacyjna terenów przemysłowych w Świętochłowicach usytuowanych w rejonie ulicy Zielonej w dzielnicy Zgoda - I etap</t>
  </si>
  <si>
    <t>wg klasyfikacji</t>
  </si>
  <si>
    <t>Utrzymanie dróg gminnych wojewódzkich, powiatowych</t>
  </si>
  <si>
    <t>Dowożenie uczniów do szkół</t>
  </si>
  <si>
    <t>Dowóz uczniów niepełnosprawnych wraz z opiekunem do placówek oświatowych</t>
  </si>
  <si>
    <t>Urząd Miejski w Świętochłowicach                                   Wydział Edukacji</t>
  </si>
  <si>
    <t>"Mamo pomożemy ci wrócić do pracy"</t>
  </si>
  <si>
    <t>Zespół Opieki nad Dziećmi do lat 3</t>
  </si>
  <si>
    <t>Pozostałe zadania w zakresie polityki społecznej</t>
  </si>
  <si>
    <t>Żłobki</t>
  </si>
  <si>
    <t>Kluby dziecięce</t>
  </si>
  <si>
    <t>Urząd Miejski w Świętochlowicach                                                            Wydzial Dróg i Mostów</t>
  </si>
  <si>
    <t>Utrzymanie czystości i porządku na terenie miasta Świętochłowice</t>
  </si>
  <si>
    <t>Urząd Miejski w Świętochłowicach                     Wydział Gospodarki Miejskiej i Ekologii, Wydział Dróg i Mostów</t>
  </si>
  <si>
    <t>Ochrona zdrowia</t>
  </si>
  <si>
    <t>Szpitale ogólne</t>
  </si>
  <si>
    <t>Urząd Miejski w Świętochłowicach 
Wydział Nadzoru Właścicielskiego i Zdrowia</t>
  </si>
  <si>
    <t>Urząd Miejski w Świętochłowicach                                   Wydział Finansowy</t>
  </si>
  <si>
    <t>"Mam zawód - mam pracę w regionie"</t>
  </si>
  <si>
    <t>Środki budżetu Miasta i Państwa</t>
  </si>
  <si>
    <t>Rewitalizacja kąpieliska miejskiego w technologii naturalnego stawu, na bazie nieużytkowanego basenu na terenie OSiR Skalka - etap I</t>
  </si>
  <si>
    <t>Gospodarka mieszkaniowa</t>
  </si>
  <si>
    <t>Przebudowa budynku po Szkole Podstawowej                     Nr 4 przy ul. Szkolnej na budynek mieszkalny                             w Świętochłowicach</t>
  </si>
  <si>
    <t>Środki budżetu Państwa 
i budżetu Miasta</t>
  </si>
  <si>
    <t>Pokrycie przejętych zobowiązań od ZOZ przekształconego w spółkę (składki ZUS)</t>
  </si>
  <si>
    <t xml:space="preserve">2014 - </t>
  </si>
  <si>
    <t>Srodki budżetu Miasta</t>
  </si>
  <si>
    <t xml:space="preserve">Pokrycie przejętych zobowiązań od ZOZ przekształconego w spółkę. Umowa przejęcia długu od SP ZOZ zawarta z Bankiem Spółdzielczym </t>
  </si>
  <si>
    <t>Pokrycie przejętych zobowiązań od ZOZ przekształconego w spółkę. Umowa przejęcia długu od SP ZOZ zawarta z Nordea Bank Polska S.A.</t>
  </si>
  <si>
    <t>plan na III kwartał 2012</t>
  </si>
  <si>
    <t>Urząd Miejski w Świętochlowicach                              Wydział Dróg i Mostów</t>
  </si>
  <si>
    <t>Urząd Miejski w Świętochlowicach                             Wydział Dróg i Mostów</t>
  </si>
  <si>
    <t>Zakład Aktywności Zawodowej przy ul. Szkolnej w Świętochłowicach</t>
  </si>
  <si>
    <t>Środki budżetu UE, Budżetu Państwa, inne</t>
  </si>
  <si>
    <t>Zwrotne środki budżetu UE</t>
  </si>
  <si>
    <t>Wysokość zobowiązań na koniec 2012 roku</t>
  </si>
  <si>
    <t>1.15</t>
  </si>
  <si>
    <t>pożyczka JESSICA 2013-2014</t>
  </si>
  <si>
    <t>Prognozowana kwota długu Miasta Świętochłowice na koniec  2013 oraz na lata następne</t>
  </si>
  <si>
    <t>Zaciągnięte i planowane do zaciągnięcia w roku 2012</t>
  </si>
  <si>
    <t>Planowane do zaciągnięcia w 2013 roku</t>
  </si>
  <si>
    <t>pożyczka na projekt Jessica</t>
  </si>
  <si>
    <t>Zaciągnięte i planowane w 2012</t>
  </si>
  <si>
    <t>Kredyt na projekt Jessica 2013-2014</t>
  </si>
  <si>
    <t>Planowane spłaty zobowiązań Miasta Świętochłowice w 2013 oraz latach następnych</t>
  </si>
  <si>
    <t>1.2.6</t>
  </si>
  <si>
    <t>2013-2014</t>
  </si>
  <si>
    <t>2014</t>
  </si>
  <si>
    <t>2015</t>
  </si>
  <si>
    <t>kredyt na projekt Jessica</t>
  </si>
  <si>
    <t xml:space="preserve">Pożyczki </t>
  </si>
  <si>
    <t>Wykup papierów wartościowych</t>
  </si>
  <si>
    <t>Planowane do zaciągnięcia</t>
  </si>
  <si>
    <t>Planowane w 2013</t>
  </si>
  <si>
    <t xml:space="preserve">Zobowiązania przejęte od przeksztalcanego w spółkę SP ZOZ </t>
  </si>
  <si>
    <t>Umowa poręczenia zawarta pomiędzy Bankiem Spółdzielczym w Gliwicach a Miastem Świętochłowice na zabezpieczenie kredytu złotowego dla ZOZ sp. z o.o.</t>
  </si>
  <si>
    <t>Umowa poręczenia zawarta pomiędzy Wojewódzkim Funduszem Ochrony Środowiska i Gospodarki Wodnej a Miastem Świętochłowice na zabezpieczenie pożyczki</t>
  </si>
  <si>
    <t>w tym: zaciągnięcie długu (wg prognozy kwoty długu)</t>
  </si>
  <si>
    <t>prywatyzacji majątku</t>
  </si>
  <si>
    <t>spłata pożyczki(ek) udzielonej(ych)</t>
  </si>
  <si>
    <r>
      <t>wydatki bieżące na przedsięwzięcia, o których mowa w art. 226 ust. 4 pkt 1 i 2  </t>
    </r>
    <r>
      <rPr>
        <b/>
        <sz val="20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</si>
  <si>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20"/>
        <rFont val="Arial"/>
        <family val="2"/>
        <charset val="238"/>
      </rPr>
      <t>(wg załącznika)</t>
    </r>
  </si>
  <si>
    <r>
      <t xml:space="preserve">warunek L </t>
    </r>
    <r>
      <rPr>
        <b/>
        <sz val="20"/>
        <rFont val="Calibri"/>
        <family val="2"/>
        <charset val="238"/>
      </rPr>
      <t xml:space="preserve">≤ </t>
    </r>
    <r>
      <rPr>
        <b/>
        <sz val="20"/>
        <rFont val="Arial"/>
        <family val="2"/>
        <charset val="238"/>
      </rPr>
      <t>P</t>
    </r>
  </si>
  <si>
    <t>Rozliczenie budżetu</t>
  </si>
  <si>
    <t>rozdział</t>
  </si>
  <si>
    <t>Załącznik Nr 3                                                                                     do Uchwały Rady Miejskiej Nr XXVII/317/12                                                           z dnia 19 grudnia 2012 r.</t>
  </si>
  <si>
    <t xml:space="preserve">Tabela nr 2 do Uchwały Nr XXVII/317/12 Rady Miejskiej w Świętochłowicach z dnia 19 grudnia 2012 r.
do projektu Uchwały Nr XIV / 168 / 11 Rady Miejskiej w Świętochłowicach  z dnia 21 grudnia 2011 roku w sprawie Wieloletniej Prognozy Finansowej Miasta Świętochłowice na lata 2012–2023
</t>
  </si>
  <si>
    <t xml:space="preserve">Tabela nr 3 do Uchwały Nr XXVII/317/12 Rady Miejskiej w Świętochłowicach z dnia 19 grudnia 2012 r.
do Uchwały Nr XIV / 168 / 11 Rady Miejskiej w Świętochłowicach z dnia 21 grudnia 2011 roku w sprawie Wieloletniej Prognozy Finansowej Miasta Świętochłowice na lata 2012–2023
</t>
  </si>
  <si>
    <t>"Kierunek - Praca"</t>
  </si>
  <si>
    <t>"Dojrzały Profesjonalizm"</t>
  </si>
  <si>
    <t>Współfinansowanie z Budżetu Państwa</t>
  </si>
  <si>
    <t>"Stawiamy na jakość IV"</t>
  </si>
  <si>
    <t>Srodki z budżetu UE</t>
  </si>
  <si>
    <t>Gospodarka Komunalna i ochrona środowiska</t>
  </si>
  <si>
    <t>Budowa targowiska miejskiego przy ul. Dworcowej w Świętochłowicach</t>
  </si>
  <si>
    <t>Urząd Miejski w Świętochłowicach Wydział Gospodarki Miejskiej i Ekologii</t>
  </si>
  <si>
    <t>Tabela Nr 1 do Uchwały Nr XXVIII/332/13 Rady Miejskiej w Świętochłowicach z dnia 16 stycznia 2013 r. w sprawie zmiany Uchwały Nr XXVII/317/12 Rady Miejskiej w Świętochłowicach z dnia 19 grudnia 2012 r. w sprawie Wieloletniej Prognozy Finansowej Miasta Świętochłowice na lata 2013-2027</t>
  </si>
  <si>
    <t>Załącznik Nr 1 do Uchwały Nr XXVIII/332/13 Rady Miejskiej w Świętochłowicach z dnia 16 stycznia 2013 r. w sprawie zmiany Uchwały Nr XXVII/317/12 Rady Miejskiej w Świętochłowicach z dnia 19 grudnia 2012 r. w sprawie Wieloletniej Prognozy Finansowej Miasta Świętochłowice na lata 2013-2027</t>
  </si>
  <si>
    <t>Załącznik Nr 2 do Uchwały Nr XXVIII/332/13 Rady Miejskiej w Świętochłowicach z dnia 16 stycznia 2013 r. w sprawie zmiany Uchwały Nr XXVII/317/12 Rady Miejskiej w Świętochłowicach z dnia 19 grudnia 2012 r. w sprawie Wieloletniej Prognozy Finansowej Miasta Świętochłowice na lata 2013-2027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</si>
</sst>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7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  <font>
      <sz val="9"/>
      <color rgb="FF000000"/>
      <name val="Czcionka tekstu podstawowego"/>
      <charset val="238"/>
    </font>
    <font>
      <i/>
      <sz val="10"/>
      <color rgb="FF000000"/>
      <name val="Czcionka tekstu podstawowego"/>
      <charset val="238"/>
    </font>
    <font>
      <i/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20"/>
      <color theme="0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name val="Calibri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3F3"/>
        <bgColor rgb="FF000000"/>
      </patternFill>
    </fill>
  </fills>
  <borders count="1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rgb="FFC00000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rgb="FFC00000"/>
      </right>
      <top style="thin">
        <color auto="1"/>
      </top>
      <bottom style="thin">
        <color auto="1"/>
      </bottom>
      <diagonal/>
    </border>
    <border>
      <left/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 diagonalUp="1" diagonalDown="1"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347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21" fillId="31" borderId="1" xfId="0" applyFont="1" applyFill="1" applyBorder="1" applyAlignment="1" applyProtection="1">
      <alignment vertical="center" wrapText="1"/>
      <protection hidden="1"/>
    </xf>
    <xf numFmtId="166" fontId="17" fillId="31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166" fontId="17" fillId="33" borderId="1" xfId="0" applyNumberFormat="1" applyFont="1" applyFill="1" applyBorder="1" applyAlignment="1" applyProtection="1">
      <alignment horizontal="right" vertical="center"/>
      <protection hidden="1"/>
    </xf>
    <xf numFmtId="166" fontId="17" fillId="33" borderId="15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17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3" xfId="0" applyFont="1" applyFill="1" applyBorder="1" applyAlignment="1" applyProtection="1">
      <alignment vertical="center" wrapText="1"/>
      <protection hidden="1"/>
    </xf>
    <xf numFmtId="166" fontId="17" fillId="37" borderId="71" xfId="0" applyNumberFormat="1" applyFont="1" applyFill="1" applyBorder="1" applyAlignment="1" applyProtection="1">
      <alignment horizontal="right" vertical="center"/>
      <protection hidden="1"/>
    </xf>
    <xf numFmtId="166" fontId="17" fillId="37" borderId="3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1" xfId="0" applyFont="1" applyFill="1" applyBorder="1" applyAlignment="1" applyProtection="1">
      <alignment vertical="center" wrapText="1"/>
      <protection hidden="1"/>
    </xf>
    <xf numFmtId="166" fontId="17" fillId="38" borderId="64" xfId="0" applyNumberFormat="1" applyFont="1" applyFill="1" applyBorder="1" applyAlignment="1" applyProtection="1">
      <alignment horizontal="right" vertical="center"/>
      <protection hidden="1"/>
    </xf>
    <xf numFmtId="166" fontId="17" fillId="38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 vertical="center"/>
      <protection hidden="1"/>
    </xf>
    <xf numFmtId="166" fontId="17" fillId="40" borderId="13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166" fontId="17" fillId="41" borderId="64" xfId="0" applyNumberFormat="1" applyFont="1" applyFill="1" applyBorder="1" applyAlignment="1" applyProtection="1">
      <alignment horizontal="right"/>
      <protection hidden="1"/>
    </xf>
    <xf numFmtId="166" fontId="17" fillId="41" borderId="1" xfId="0" applyNumberFormat="1" applyFont="1" applyFill="1" applyBorder="1" applyAlignment="1" applyProtection="1">
      <alignment horizontal="right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 vertical="center"/>
      <protection hidden="1"/>
    </xf>
    <xf numFmtId="167" fontId="17" fillId="42" borderId="1" xfId="0" applyNumberFormat="1" applyFont="1" applyFill="1" applyBorder="1" applyAlignment="1" applyProtection="1">
      <alignment horizontal="right" vertical="center"/>
      <protection hidden="1"/>
    </xf>
    <xf numFmtId="0" fontId="17" fillId="43" borderId="65" xfId="0" applyFont="1" applyFill="1" applyBorder="1" applyAlignment="1" applyProtection="1">
      <alignment horizontal="left" vertical="center"/>
      <protection hidden="1"/>
    </xf>
    <xf numFmtId="0" fontId="17" fillId="43" borderId="66" xfId="0" applyFont="1" applyFill="1" applyBorder="1" applyAlignment="1" applyProtection="1">
      <alignment vertical="center" wrapText="1"/>
      <protection hidden="1"/>
    </xf>
    <xf numFmtId="166" fontId="17" fillId="43" borderId="67" xfId="0" applyNumberFormat="1" applyFont="1" applyFill="1" applyBorder="1" applyAlignment="1" applyProtection="1">
      <alignment horizontal="right" vertical="center"/>
      <protection hidden="1"/>
    </xf>
    <xf numFmtId="167" fontId="17" fillId="43" borderId="66" xfId="0" applyNumberFormat="1" applyFont="1" applyFill="1" applyBorder="1" applyAlignment="1" applyProtection="1">
      <alignment horizontal="right" vertical="center"/>
      <protection hidden="1"/>
    </xf>
    <xf numFmtId="167" fontId="22" fillId="43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0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1" xfId="0" applyFont="1" applyBorder="1"/>
    <xf numFmtId="49" fontId="28" fillId="44" borderId="102" xfId="0" applyNumberFormat="1" applyFont="1" applyFill="1" applyBorder="1" applyAlignment="1"/>
    <xf numFmtId="43" fontId="28" fillId="44" borderId="1" xfId="1" applyNumberFormat="1" applyFont="1" applyFill="1" applyBorder="1" applyAlignment="1"/>
    <xf numFmtId="43" fontId="28" fillId="44" borderId="1" xfId="0" applyNumberFormat="1" applyFont="1" applyFill="1" applyBorder="1" applyAlignment="1">
      <alignment horizontal="right"/>
    </xf>
    <xf numFmtId="43" fontId="28" fillId="44" borderId="15" xfId="1" applyNumberFormat="1" applyFont="1" applyFill="1" applyBorder="1" applyAlignment="1"/>
    <xf numFmtId="43" fontId="28" fillId="44" borderId="13" xfId="1" applyNumberFormat="1" applyFont="1" applyFill="1" applyBorder="1" applyAlignment="1"/>
    <xf numFmtId="43" fontId="28" fillId="44" borderId="103" xfId="1" applyNumberFormat="1" applyFont="1" applyFill="1" applyBorder="1" applyAlignment="1"/>
    <xf numFmtId="43" fontId="28" fillId="44" borderId="102" xfId="1" applyNumberFormat="1" applyFont="1" applyFill="1" applyBorder="1" applyAlignment="1"/>
    <xf numFmtId="43" fontId="28" fillId="44" borderId="103" xfId="0" applyNumberFormat="1" applyFont="1" applyFill="1" applyBorder="1" applyAlignment="1"/>
    <xf numFmtId="0" fontId="0" fillId="0" borderId="0" xfId="0" applyFill="1"/>
    <xf numFmtId="43" fontId="28" fillId="44" borderId="1" xfId="1" applyNumberFormat="1" applyFont="1" applyFill="1" applyBorder="1" applyAlignment="1">
      <alignment horizontal="right"/>
    </xf>
    <xf numFmtId="3" fontId="26" fillId="0" borderId="102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2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3" xfId="1" applyNumberFormat="1" applyFont="1" applyFill="1" applyBorder="1" applyAlignment="1"/>
    <xf numFmtId="3" fontId="28" fillId="0" borderId="102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7" xfId="0" applyNumberFormat="1" applyFont="1" applyFill="1" applyBorder="1" applyAlignment="1"/>
    <xf numFmtId="3" fontId="28" fillId="0" borderId="104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3" xfId="0" applyNumberFormat="1" applyFont="1" applyFill="1" applyBorder="1" applyAlignment="1">
      <alignment horizontal="center"/>
    </xf>
    <xf numFmtId="3" fontId="28" fillId="0" borderId="100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/>
    <xf numFmtId="49" fontId="29" fillId="45" borderId="102" xfId="0" applyNumberFormat="1" applyFont="1" applyFill="1" applyBorder="1" applyAlignment="1"/>
    <xf numFmtId="43" fontId="28" fillId="45" borderId="1" xfId="1" applyNumberFormat="1" applyFont="1" applyFill="1" applyBorder="1" applyAlignment="1">
      <alignment horizontal="right"/>
    </xf>
    <xf numFmtId="43" fontId="28" fillId="45" borderId="1" xfId="0" applyNumberFormat="1" applyFont="1" applyFill="1" applyBorder="1" applyAlignment="1">
      <alignment horizontal="right"/>
    </xf>
    <xf numFmtId="43" fontId="28" fillId="45" borderId="15" xfId="0" applyNumberFormat="1" applyFont="1" applyFill="1" applyBorder="1" applyAlignment="1">
      <alignment horizontal="right"/>
    </xf>
    <xf numFmtId="43" fontId="28" fillId="45" borderId="13" xfId="0" applyNumberFormat="1" applyFont="1" applyFill="1" applyBorder="1" applyAlignment="1">
      <alignment horizontal="right"/>
    </xf>
    <xf numFmtId="43" fontId="28" fillId="45" borderId="103" xfId="0" applyNumberFormat="1" applyFont="1" applyFill="1" applyBorder="1" applyAlignment="1">
      <alignment horizontal="right"/>
    </xf>
    <xf numFmtId="49" fontId="28" fillId="45" borderId="102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02" xfId="1" applyNumberFormat="1" applyFont="1" applyFill="1" applyBorder="1" applyAlignment="1"/>
    <xf numFmtId="43" fontId="28" fillId="45" borderId="103" xfId="0" applyNumberFormat="1" applyFont="1" applyFill="1" applyBorder="1" applyAlignment="1"/>
    <xf numFmtId="49" fontId="29" fillId="45" borderId="108" xfId="0" applyNumberFormat="1" applyFont="1" applyFill="1" applyBorder="1" applyAlignment="1"/>
    <xf numFmtId="43" fontId="28" fillId="45" borderId="3" xfId="1" applyNumberFormat="1" applyFont="1" applyFill="1" applyBorder="1" applyAlignment="1">
      <alignment horizontal="right"/>
    </xf>
    <xf numFmtId="43" fontId="28" fillId="45" borderId="3" xfId="0" applyNumberFormat="1" applyFont="1" applyFill="1" applyBorder="1" applyAlignment="1">
      <alignment horizontal="right"/>
    </xf>
    <xf numFmtId="43" fontId="28" fillId="45" borderId="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/>
    <xf numFmtId="3" fontId="26" fillId="0" borderId="104" xfId="1" applyNumberFormat="1" applyFont="1" applyFill="1" applyBorder="1" applyAlignment="1"/>
    <xf numFmtId="4" fontId="26" fillId="0" borderId="104" xfId="1" applyNumberFormat="1" applyFont="1" applyFill="1" applyBorder="1" applyAlignment="1"/>
    <xf numFmtId="3" fontId="26" fillId="0" borderId="108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7" xfId="1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10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3" xfId="0" applyNumberFormat="1" applyFont="1" applyFill="1" applyBorder="1" applyAlignment="1"/>
    <xf numFmtId="3" fontId="26" fillId="46" borderId="104" xfId="0" applyNumberFormat="1" applyFont="1" applyFill="1" applyBorder="1" applyAlignment="1"/>
    <xf numFmtId="43" fontId="28" fillId="46" borderId="104" xfId="0" applyNumberFormat="1" applyFont="1" applyFill="1" applyBorder="1" applyAlignment="1"/>
    <xf numFmtId="43" fontId="31" fillId="46" borderId="111" xfId="1" applyNumberFormat="1" applyFont="1" applyFill="1" applyBorder="1" applyAlignment="1"/>
    <xf numFmtId="3" fontId="31" fillId="46" borderId="104" xfId="0" applyNumberFormat="1" applyFont="1" applyFill="1" applyBorder="1" applyAlignment="1"/>
    <xf numFmtId="0" fontId="28" fillId="0" borderId="92" xfId="0" applyFont="1" applyBorder="1"/>
    <xf numFmtId="0" fontId="28" fillId="0" borderId="113" xfId="0" applyFont="1" applyBorder="1" applyAlignment="1"/>
    <xf numFmtId="3" fontId="26" fillId="0" borderId="105" xfId="0" applyNumberFormat="1" applyFont="1" applyFill="1" applyBorder="1" applyAlignment="1">
      <alignment horizontal="center"/>
    </xf>
    <xf numFmtId="3" fontId="26" fillId="0" borderId="107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4" xfId="0" applyFont="1" applyBorder="1" applyAlignment="1">
      <alignment horizontal="center"/>
    </xf>
    <xf numFmtId="49" fontId="28" fillId="47" borderId="102" xfId="0" applyNumberFormat="1" applyFont="1" applyFill="1" applyBorder="1" applyAlignment="1"/>
    <xf numFmtId="43" fontId="28" fillId="47" borderId="15" xfId="1" applyNumberFormat="1" applyFont="1" applyFill="1" applyBorder="1" applyAlignment="1"/>
    <xf numFmtId="43" fontId="28" fillId="47" borderId="102" xfId="0" applyNumberFormat="1" applyFont="1" applyFill="1" applyBorder="1" applyAlignment="1"/>
    <xf numFmtId="43" fontId="28" fillId="47" borderId="103" xfId="0" applyNumberFormat="1" applyFont="1" applyFill="1" applyBorder="1" applyAlignment="1"/>
    <xf numFmtId="43" fontId="28" fillId="47" borderId="102" xfId="0" applyNumberFormat="1" applyFont="1" applyFill="1" applyBorder="1" applyAlignment="1">
      <alignment horizontal="right"/>
    </xf>
    <xf numFmtId="43" fontId="28" fillId="47" borderId="103" xfId="0" applyNumberFormat="1" applyFont="1" applyFill="1" applyBorder="1" applyAlignment="1">
      <alignment horizontal="right"/>
    </xf>
    <xf numFmtId="43" fontId="28" fillId="47" borderId="115" xfId="0" applyNumberFormat="1" applyFont="1" applyFill="1" applyBorder="1" applyAlignment="1"/>
    <xf numFmtId="43" fontId="28" fillId="48" borderId="102" xfId="1" applyNumberFormat="1" applyFont="1" applyFill="1" applyBorder="1" applyAlignment="1"/>
    <xf numFmtId="43" fontId="28" fillId="47" borderId="13" xfId="1" applyNumberFormat="1" applyFont="1" applyFill="1" applyBorder="1" applyAlignment="1"/>
    <xf numFmtId="43" fontId="28" fillId="47" borderId="14" xfId="1" applyNumberFormat="1" applyFont="1" applyFill="1" applyBorder="1" applyAlignment="1"/>
    <xf numFmtId="43" fontId="28" fillId="47" borderId="1" xfId="1" applyNumberFormat="1" applyFont="1" applyFill="1" applyBorder="1" applyAlignment="1"/>
    <xf numFmtId="43" fontId="28" fillId="47" borderId="15" xfId="0" applyNumberFormat="1" applyFont="1" applyFill="1" applyBorder="1"/>
    <xf numFmtId="43" fontId="28" fillId="47" borderId="102" xfId="0" applyNumberFormat="1" applyFont="1" applyFill="1" applyBorder="1" applyAlignment="1">
      <alignment horizontal="right" vertical="center"/>
    </xf>
    <xf numFmtId="43" fontId="28" fillId="47" borderId="103" xfId="0" applyNumberFormat="1" applyFont="1" applyFill="1" applyBorder="1" applyAlignment="1">
      <alignment horizontal="right" vertical="center"/>
    </xf>
    <xf numFmtId="49" fontId="28" fillId="47" borderId="108" xfId="0" applyNumberFormat="1" applyFont="1" applyFill="1" applyBorder="1" applyAlignment="1"/>
    <xf numFmtId="43" fontId="28" fillId="47" borderId="4" xfId="0" applyNumberFormat="1" applyFont="1" applyFill="1" applyBorder="1"/>
    <xf numFmtId="43" fontId="28" fillId="47" borderId="108" xfId="0" applyNumberFormat="1" applyFont="1" applyFill="1" applyBorder="1" applyAlignment="1">
      <alignment horizontal="right" vertical="center"/>
    </xf>
    <xf numFmtId="43" fontId="28" fillId="47" borderId="116" xfId="0" applyNumberFormat="1" applyFont="1" applyFill="1" applyBorder="1" applyAlignment="1">
      <alignment horizontal="right" vertical="center"/>
    </xf>
    <xf numFmtId="49" fontId="28" fillId="47" borderId="1" xfId="0" applyNumberFormat="1" applyFont="1" applyFill="1" applyBorder="1" applyAlignment="1"/>
    <xf numFmtId="43" fontId="28" fillId="47" borderId="1" xfId="0" applyNumberFormat="1" applyFont="1" applyFill="1" applyBorder="1" applyAlignment="1"/>
    <xf numFmtId="43" fontId="28" fillId="48" borderId="108" xfId="1" applyNumberFormat="1" applyFont="1" applyFill="1" applyBorder="1" applyAlignment="1"/>
    <xf numFmtId="43" fontId="28" fillId="47" borderId="3" xfId="1" applyNumberFormat="1" applyFont="1" applyFill="1" applyBorder="1" applyAlignment="1"/>
    <xf numFmtId="43" fontId="28" fillId="47" borderId="116" xfId="0" applyNumberFormat="1" applyFont="1" applyFill="1" applyBorder="1" applyAlignment="1"/>
    <xf numFmtId="43" fontId="28" fillId="47" borderId="115" xfId="1" applyNumberFormat="1" applyFont="1" applyFill="1" applyBorder="1" applyAlignment="1"/>
    <xf numFmtId="43" fontId="26" fillId="0" borderId="112" xfId="1" applyNumberFormat="1" applyFont="1" applyFill="1" applyBorder="1" applyAlignment="1"/>
    <xf numFmtId="43" fontId="26" fillId="0" borderId="110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49" borderId="2" xfId="1" applyNumberFormat="1" applyFont="1" applyFill="1" applyBorder="1" applyAlignment="1"/>
    <xf numFmtId="43" fontId="28" fillId="49" borderId="2" xfId="0" applyNumberFormat="1" applyFont="1" applyFill="1" applyBorder="1" applyAlignment="1"/>
    <xf numFmtId="43" fontId="28" fillId="49" borderId="1" xfId="1" applyNumberFormat="1" applyFont="1" applyFill="1" applyBorder="1" applyAlignment="1"/>
    <xf numFmtId="43" fontId="28" fillId="49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6" borderId="104" xfId="1" applyNumberFormat="1" applyFont="1" applyFill="1" applyBorder="1" applyAlignment="1"/>
    <xf numFmtId="43" fontId="26" fillId="46" borderId="110" xfId="1" applyNumberFormat="1" applyFont="1" applyFill="1" applyBorder="1" applyAlignment="1"/>
    <xf numFmtId="43" fontId="26" fillId="46" borderId="112" xfId="1" applyNumberFormat="1" applyFont="1" applyFill="1" applyBorder="1" applyAlignment="1"/>
    <xf numFmtId="43" fontId="31" fillId="46" borderId="126" xfId="0" applyNumberFormat="1" applyFont="1" applyFill="1" applyBorder="1" applyAlignment="1"/>
    <xf numFmtId="43" fontId="0" fillId="0" borderId="0" xfId="0" applyNumberFormat="1"/>
    <xf numFmtId="43" fontId="31" fillId="50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3" xfId="0" applyNumberFormat="1" applyFont="1" applyBorder="1" applyAlignment="1"/>
    <xf numFmtId="43" fontId="31" fillId="50" borderId="113" xfId="0" applyNumberFormat="1" applyFont="1" applyFill="1" applyBorder="1" applyAlignment="1"/>
    <xf numFmtId="43" fontId="31" fillId="0" borderId="113" xfId="0" applyNumberFormat="1" applyFont="1" applyBorder="1" applyAlignment="1"/>
    <xf numFmtId="43" fontId="31" fillId="0" borderId="113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86" xfId="0" applyFont="1" applyBorder="1" applyAlignment="1" applyProtection="1">
      <alignment horizontal="center"/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8" fillId="0" borderId="134" xfId="0" applyFont="1" applyBorder="1" applyProtection="1">
      <protection hidden="1"/>
    </xf>
    <xf numFmtId="0" fontId="26" fillId="0" borderId="134" xfId="0" applyFont="1" applyBorder="1" applyAlignment="1" applyProtection="1">
      <alignment horizontal="center"/>
      <protection hidden="1"/>
    </xf>
    <xf numFmtId="0" fontId="26" fillId="0" borderId="102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3" xfId="0" applyFont="1" applyBorder="1" applyProtection="1">
      <protection hidden="1"/>
    </xf>
    <xf numFmtId="49" fontId="28" fillId="44" borderId="102" xfId="1" applyNumberFormat="1" applyFont="1" applyFill="1" applyBorder="1" applyAlignment="1" applyProtection="1">
      <protection hidden="1"/>
    </xf>
    <xf numFmtId="43" fontId="28" fillId="44" borderId="15" xfId="1" applyFont="1" applyFill="1" applyBorder="1" applyAlignment="1" applyProtection="1">
      <protection hidden="1"/>
    </xf>
    <xf numFmtId="43" fontId="28" fillId="44" borderId="102" xfId="1" applyFont="1" applyFill="1" applyBorder="1" applyAlignment="1" applyProtection="1">
      <protection hidden="1"/>
    </xf>
    <xf numFmtId="43" fontId="28" fillId="44" borderId="103" xfId="1" applyFont="1" applyFill="1" applyBorder="1" applyAlignment="1" applyProtection="1">
      <protection hidden="1"/>
    </xf>
    <xf numFmtId="43" fontId="28" fillId="44" borderId="102" xfId="0" applyNumberFormat="1" applyFont="1" applyFill="1" applyBorder="1" applyAlignment="1" applyProtection="1">
      <alignment horizontal="right"/>
      <protection hidden="1"/>
    </xf>
    <xf numFmtId="43" fontId="28" fillId="44" borderId="103" xfId="0" applyNumberFormat="1" applyFont="1" applyFill="1" applyBorder="1" applyAlignment="1" applyProtection="1">
      <alignment horizontal="right"/>
      <protection hidden="1"/>
    </xf>
    <xf numFmtId="43" fontId="28" fillId="44" borderId="13" xfId="1" applyFont="1" applyFill="1" applyBorder="1" applyAlignment="1" applyProtection="1">
      <protection hidden="1"/>
    </xf>
    <xf numFmtId="43" fontId="28" fillId="44" borderId="52" xfId="1" applyFont="1" applyFill="1" applyBorder="1" applyAlignment="1" applyProtection="1">
      <protection hidden="1"/>
    </xf>
    <xf numFmtId="49" fontId="28" fillId="44" borderId="134" xfId="0" applyNumberFormat="1" applyFont="1" applyFill="1" applyBorder="1" applyAlignment="1" applyProtection="1">
      <protection hidden="1"/>
    </xf>
    <xf numFmtId="43" fontId="28" fillId="44" borderId="134" xfId="1" applyFont="1" applyFill="1" applyBorder="1" applyAlignment="1" applyProtection="1">
      <protection hidden="1"/>
    </xf>
    <xf numFmtId="43" fontId="28" fillId="44" borderId="1" xfId="1" applyFont="1" applyFill="1" applyBorder="1" applyAlignment="1" applyProtection="1">
      <protection hidden="1"/>
    </xf>
    <xf numFmtId="43" fontId="28" fillId="44" borderId="10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4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03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4" xfId="0" applyNumberFormat="1" applyFont="1" applyFill="1" applyBorder="1" applyAlignment="1" applyProtection="1">
      <protection hidden="1"/>
    </xf>
    <xf numFmtId="43" fontId="26" fillId="0" borderId="134" xfId="0" applyNumberFormat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3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1" borderId="15" xfId="0" applyNumberFormat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0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5" borderId="24" xfId="0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43" fontId="28" fillId="45" borderId="102" xfId="0" applyNumberFormat="1" applyFont="1" applyFill="1" applyBorder="1" applyAlignment="1" applyProtection="1">
      <alignment horizontal="right"/>
      <protection hidden="1"/>
    </xf>
    <xf numFmtId="43" fontId="28" fillId="45" borderId="103" xfId="0" applyNumberFormat="1" applyFont="1" applyFill="1" applyBorder="1" applyAlignment="1" applyProtection="1">
      <alignment horizontal="right"/>
      <protection hidden="1"/>
    </xf>
    <xf numFmtId="43" fontId="28" fillId="45" borderId="13" xfId="0" applyNumberFormat="1" applyFont="1" applyFill="1" applyBorder="1" applyAlignment="1" applyProtection="1">
      <alignment horizontal="right"/>
      <protection hidden="1"/>
    </xf>
    <xf numFmtId="43" fontId="28" fillId="45" borderId="15" xfId="0" applyNumberFormat="1" applyFont="1" applyFill="1" applyBorder="1" applyAlignment="1" applyProtection="1">
      <alignment horizontal="right"/>
      <protection hidden="1"/>
    </xf>
    <xf numFmtId="43" fontId="28" fillId="45" borderId="52" xfId="0" applyNumberFormat="1" applyFont="1" applyFill="1" applyBorder="1" applyAlignment="1" applyProtection="1">
      <alignment horizontal="right"/>
      <protection hidden="1"/>
    </xf>
    <xf numFmtId="49" fontId="28" fillId="45" borderId="134" xfId="0" applyNumberFormat="1" applyFont="1" applyFill="1" applyBorder="1" applyAlignment="1" applyProtection="1">
      <protection hidden="1"/>
    </xf>
    <xf numFmtId="43" fontId="28" fillId="45" borderId="134" xfId="1" applyFont="1" applyFill="1" applyBorder="1" applyAlignment="1" applyProtection="1">
      <protection hidden="1"/>
    </xf>
    <xf numFmtId="43" fontId="28" fillId="45" borderId="102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3" xfId="0" applyNumberFormat="1" applyFont="1" applyFill="1" applyBorder="1" applyAlignment="1" applyProtection="1">
      <protection hidden="1"/>
    </xf>
    <xf numFmtId="49" fontId="28" fillId="45" borderId="28" xfId="0" applyNumberFormat="1" applyFont="1" applyFill="1" applyBorder="1" applyAlignment="1" applyProtection="1">
      <protection hidden="1"/>
    </xf>
    <xf numFmtId="43" fontId="28" fillId="45" borderId="4" xfId="1" applyFont="1" applyFill="1" applyBorder="1" applyAlignment="1" applyProtection="1">
      <alignment horizontal="right"/>
      <protection hidden="1"/>
    </xf>
    <xf numFmtId="43" fontId="26" fillId="0" borderId="138" xfId="0" applyNumberFormat="1" applyFont="1" applyFill="1" applyBorder="1" applyAlignment="1" applyProtection="1">
      <protection hidden="1"/>
    </xf>
    <xf numFmtId="43" fontId="26" fillId="0" borderId="112" xfId="1" applyNumberFormat="1" applyFont="1" applyFill="1" applyBorder="1" applyAlignment="1" applyProtection="1">
      <protection hidden="1"/>
    </xf>
    <xf numFmtId="43" fontId="26" fillId="0" borderId="134" xfId="1" applyFont="1" applyFill="1" applyBorder="1" applyAlignment="1" applyProtection="1">
      <protection hidden="1"/>
    </xf>
    <xf numFmtId="43" fontId="26" fillId="0" borderId="103" xfId="0" applyNumberFormat="1" applyFont="1" applyFill="1" applyBorder="1" applyAlignment="1" applyProtection="1">
      <protection hidden="1"/>
    </xf>
    <xf numFmtId="43" fontId="28" fillId="0" borderId="135" xfId="0" applyNumberFormat="1" applyFont="1" applyFill="1" applyBorder="1" applyAlignment="1" applyProtection="1">
      <protection hidden="1"/>
    </xf>
    <xf numFmtId="43" fontId="29" fillId="51" borderId="9" xfId="1" applyNumberFormat="1" applyFont="1" applyFill="1" applyBorder="1" applyAlignment="1" applyProtection="1">
      <protection hidden="1"/>
    </xf>
    <xf numFmtId="170" fontId="30" fillId="0" borderId="115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7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3" xfId="1" applyNumberFormat="1" applyFont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03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6" borderId="134" xfId="0" applyNumberFormat="1" applyFont="1" applyFill="1" applyBorder="1" applyAlignment="1" applyProtection="1">
      <protection hidden="1"/>
    </xf>
    <xf numFmtId="43" fontId="28" fillId="46" borderId="134" xfId="0" applyNumberFormat="1" applyFont="1" applyFill="1" applyBorder="1" applyAlignment="1" applyProtection="1">
      <protection hidden="1"/>
    </xf>
    <xf numFmtId="43" fontId="31" fillId="46" borderId="102" xfId="1" applyFont="1" applyFill="1" applyBorder="1" applyAlignment="1" applyProtection="1">
      <protection hidden="1"/>
    </xf>
    <xf numFmtId="43" fontId="31" fillId="46" borderId="1" xfId="1" applyFont="1" applyFill="1" applyBorder="1" applyAlignment="1" applyProtection="1">
      <protection hidden="1"/>
    </xf>
    <xf numFmtId="43" fontId="31" fillId="46" borderId="103" xfId="1" applyFont="1" applyFill="1" applyBorder="1" applyAlignment="1" applyProtection="1">
      <protection hidden="1"/>
    </xf>
    <xf numFmtId="43" fontId="31" fillId="46" borderId="102" xfId="0" applyNumberFormat="1" applyFont="1" applyFill="1" applyBorder="1" applyAlignment="1" applyProtection="1">
      <protection hidden="1"/>
    </xf>
    <xf numFmtId="43" fontId="31" fillId="46" borderId="103" xfId="0" applyNumberFormat="1" applyFont="1" applyFill="1" applyBorder="1" applyAlignment="1" applyProtection="1">
      <protection hidden="1"/>
    </xf>
    <xf numFmtId="43" fontId="31" fillId="46" borderId="13" xfId="0" applyNumberFormat="1" applyFont="1" applyFill="1" applyBorder="1" applyAlignment="1" applyProtection="1">
      <protection hidden="1"/>
    </xf>
    <xf numFmtId="43" fontId="31" fillId="46" borderId="15" xfId="0" applyNumberFormat="1" applyFont="1" applyFill="1" applyBorder="1" applyAlignment="1" applyProtection="1">
      <protection hidden="1"/>
    </xf>
    <xf numFmtId="49" fontId="28" fillId="48" borderId="24" xfId="0" applyNumberFormat="1" applyFont="1" applyFill="1" applyBorder="1" applyAlignment="1" applyProtection="1">
      <protection hidden="1"/>
    </xf>
    <xf numFmtId="43" fontId="28" fillId="48" borderId="15" xfId="1" applyFont="1" applyFill="1" applyBorder="1" applyAlignment="1" applyProtection="1">
      <protection hidden="1"/>
    </xf>
    <xf numFmtId="43" fontId="28" fillId="48" borderId="102" xfId="0" applyNumberFormat="1" applyFont="1" applyFill="1" applyBorder="1" applyAlignment="1" applyProtection="1">
      <protection hidden="1"/>
    </xf>
    <xf numFmtId="43" fontId="28" fillId="48" borderId="103" xfId="0" applyNumberFormat="1" applyFont="1" applyFill="1" applyBorder="1" applyAlignment="1" applyProtection="1">
      <protection hidden="1"/>
    </xf>
    <xf numFmtId="43" fontId="28" fillId="48" borderId="103" xfId="0" applyNumberFormat="1" applyFont="1" applyFill="1" applyBorder="1" applyAlignment="1" applyProtection="1">
      <alignment horizontal="right"/>
      <protection hidden="1"/>
    </xf>
    <xf numFmtId="43" fontId="28" fillId="48" borderId="13" xfId="0" applyNumberFormat="1" applyFont="1" applyFill="1" applyBorder="1" applyAlignment="1" applyProtection="1">
      <protection hidden="1"/>
    </xf>
    <xf numFmtId="43" fontId="28" fillId="48" borderId="15" xfId="0" applyNumberFormat="1" applyFont="1" applyFill="1" applyBorder="1" applyAlignment="1" applyProtection="1">
      <protection hidden="1"/>
    </xf>
    <xf numFmtId="43" fontId="28" fillId="48" borderId="52" xfId="0" applyNumberFormat="1" applyFont="1" applyFill="1" applyBorder="1" applyAlignment="1" applyProtection="1">
      <protection hidden="1"/>
    </xf>
    <xf numFmtId="49" fontId="28" fillId="48" borderId="134" xfId="0" applyNumberFormat="1" applyFont="1" applyFill="1" applyBorder="1" applyAlignment="1" applyProtection="1">
      <protection hidden="1"/>
    </xf>
    <xf numFmtId="43" fontId="28" fillId="48" borderId="134" xfId="1" applyFont="1" applyFill="1" applyBorder="1" applyAlignment="1" applyProtection="1">
      <protection hidden="1"/>
    </xf>
    <xf numFmtId="43" fontId="28" fillId="48" borderId="102" xfId="1" applyFont="1" applyFill="1" applyBorder="1" applyAlignment="1" applyProtection="1">
      <protection hidden="1"/>
    </xf>
    <xf numFmtId="43" fontId="28" fillId="48" borderId="1" xfId="1" applyFont="1" applyFill="1" applyBorder="1" applyAlignment="1" applyProtection="1">
      <protection hidden="1"/>
    </xf>
    <xf numFmtId="49" fontId="28" fillId="48" borderId="24" xfId="0" applyNumberFormat="1" applyFont="1" applyFill="1" applyBorder="1" applyProtection="1">
      <protection hidden="1"/>
    </xf>
    <xf numFmtId="43" fontId="28" fillId="48" borderId="15" xfId="0" applyNumberFormat="1" applyFont="1" applyFill="1" applyBorder="1" applyProtection="1">
      <protection hidden="1"/>
    </xf>
    <xf numFmtId="49" fontId="28" fillId="48" borderId="28" xfId="0" applyNumberFormat="1" applyFont="1" applyFill="1" applyBorder="1" applyProtection="1">
      <protection hidden="1"/>
    </xf>
    <xf numFmtId="43" fontId="28" fillId="48" borderId="4" xfId="0" applyNumberFormat="1" applyFont="1" applyFill="1" applyBorder="1" applyProtection="1">
      <protection hidden="1"/>
    </xf>
    <xf numFmtId="49" fontId="36" fillId="48" borderId="28" xfId="0" applyNumberFormat="1" applyFont="1" applyFill="1" applyBorder="1" applyProtection="1">
      <protection hidden="1"/>
    </xf>
    <xf numFmtId="3" fontId="26" fillId="0" borderId="138" xfId="0" applyNumberFormat="1" applyFont="1" applyFill="1" applyBorder="1" applyAlignment="1" applyProtection="1">
      <protection hidden="1"/>
    </xf>
    <xf numFmtId="43" fontId="26" fillId="0" borderId="112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5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9" xfId="0" applyNumberFormat="1" applyFont="1" applyFill="1" applyBorder="1" applyAlignment="1" applyProtection="1">
      <protection hidden="1"/>
    </xf>
    <xf numFmtId="43" fontId="26" fillId="46" borderId="102" xfId="1" applyFont="1" applyFill="1" applyBorder="1" applyAlignment="1" applyProtection="1">
      <protection hidden="1"/>
    </xf>
    <xf numFmtId="43" fontId="26" fillId="46" borderId="103" xfId="1" applyFont="1" applyFill="1" applyBorder="1" applyAlignment="1" applyProtection="1">
      <protection hidden="1"/>
    </xf>
    <xf numFmtId="43" fontId="26" fillId="46" borderId="13" xfId="1" applyFont="1" applyFill="1" applyBorder="1" applyAlignment="1" applyProtection="1">
      <protection hidden="1"/>
    </xf>
    <xf numFmtId="43" fontId="26" fillId="46" borderId="52" xfId="1" applyFont="1" applyFill="1" applyBorder="1" applyAlignment="1" applyProtection="1">
      <protection hidden="1"/>
    </xf>
    <xf numFmtId="43" fontId="31" fillId="46" borderId="97" xfId="0" applyNumberFormat="1" applyFont="1" applyFill="1" applyBorder="1" applyAlignment="1" applyProtection="1">
      <protection hidden="1"/>
    </xf>
    <xf numFmtId="43" fontId="31" fillId="46" borderId="104" xfId="0" applyNumberFormat="1" applyFont="1" applyFill="1" applyBorder="1" applyAlignment="1" applyProtection="1">
      <protection hidden="1"/>
    </xf>
    <xf numFmtId="43" fontId="31" fillId="46" borderId="110" xfId="0" applyNumberFormat="1" applyFont="1" applyFill="1" applyBorder="1" applyAlignment="1" applyProtection="1">
      <protection hidden="1"/>
    </xf>
    <xf numFmtId="43" fontId="0" fillId="51" borderId="141" xfId="0" applyNumberFormat="1" applyFill="1" applyBorder="1" applyAlignment="1" applyProtection="1">
      <alignment vertical="center"/>
      <protection hidden="1"/>
    </xf>
    <xf numFmtId="43" fontId="31" fillId="51" borderId="142" xfId="1" applyFont="1" applyFill="1" applyBorder="1" applyAlignment="1" applyProtection="1">
      <alignment vertical="center"/>
      <protection hidden="1"/>
    </xf>
    <xf numFmtId="43" fontId="34" fillId="51" borderId="141" xfId="0" applyNumberFormat="1" applyFont="1" applyFill="1" applyBorder="1" applyAlignment="1" applyProtection="1">
      <alignment vertical="center"/>
      <protection hidden="1"/>
    </xf>
    <xf numFmtId="43" fontId="31" fillId="51" borderId="141" xfId="1" applyFont="1" applyFill="1" applyBorder="1" applyAlignment="1" applyProtection="1">
      <alignment vertical="center"/>
      <protection hidden="1"/>
    </xf>
    <xf numFmtId="43" fontId="31" fillId="51" borderId="47" xfId="1" applyFont="1" applyFill="1" applyBorder="1" applyAlignment="1" applyProtection="1">
      <alignment vertical="center"/>
      <protection hidden="1"/>
    </xf>
    <xf numFmtId="43" fontId="31" fillId="51" borderId="140" xfId="1" applyFont="1" applyFill="1" applyBorder="1" applyAlignment="1" applyProtection="1">
      <alignment vertical="center"/>
      <protection hidden="1"/>
    </xf>
    <xf numFmtId="43" fontId="34" fillId="51" borderId="47" xfId="0" applyNumberFormat="1" applyFont="1" applyFill="1" applyBorder="1" applyAlignment="1" applyProtection="1">
      <alignment vertical="center"/>
      <protection hidden="1"/>
    </xf>
    <xf numFmtId="43" fontId="31" fillId="51" borderId="143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3" xfId="0" applyNumberFormat="1" applyFont="1" applyBorder="1" applyAlignment="1" applyProtection="1">
      <alignment vertical="center"/>
      <protection hidden="1"/>
    </xf>
    <xf numFmtId="43" fontId="31" fillId="50" borderId="113" xfId="0" applyNumberFormat="1" applyFont="1" applyFill="1" applyBorder="1" applyAlignment="1" applyProtection="1">
      <alignment vertical="center"/>
      <protection hidden="1"/>
    </xf>
    <xf numFmtId="43" fontId="31" fillId="0" borderId="113" xfId="0" applyNumberFormat="1" applyFont="1" applyBorder="1" applyAlignment="1" applyProtection="1">
      <alignment vertical="center"/>
      <protection hidden="1"/>
    </xf>
    <xf numFmtId="43" fontId="31" fillId="0" borderId="113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0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2" borderId="108" xfId="0" applyNumberFormat="1" applyFont="1" applyFill="1" applyBorder="1" applyAlignment="1">
      <alignment horizontal="right" vertical="center"/>
    </xf>
    <xf numFmtId="43" fontId="28" fillId="52" borderId="116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0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1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 vertical="center"/>
      <protection hidden="1"/>
    </xf>
    <xf numFmtId="166" fontId="17" fillId="33" borderId="63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152" xfId="0" applyNumberFormat="1" applyFont="1" applyFill="1" applyBorder="1" applyAlignment="1" applyProtection="1">
      <alignment horizontal="right" vertical="center"/>
      <protection hidden="1"/>
    </xf>
    <xf numFmtId="166" fontId="17" fillId="38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/>
      <protection hidden="1"/>
    </xf>
    <xf numFmtId="166" fontId="17" fillId="40" borderId="151" xfId="0" applyNumberFormat="1" applyFont="1" applyFill="1" applyBorder="1" applyAlignment="1" applyProtection="1">
      <alignment horizontal="right" vertical="center"/>
      <protection hidden="1"/>
    </xf>
    <xf numFmtId="166" fontId="17" fillId="41" borderId="63" xfId="0" applyNumberFormat="1" applyFont="1" applyFill="1" applyBorder="1" applyAlignment="1" applyProtection="1">
      <alignment horizontal="right"/>
      <protection hidden="1"/>
    </xf>
    <xf numFmtId="167" fontId="17" fillId="42" borderId="63" xfId="0" applyNumberFormat="1" applyFont="1" applyFill="1" applyBorder="1" applyAlignment="1" applyProtection="1">
      <alignment horizontal="right" vertical="center"/>
      <protection hidden="1"/>
    </xf>
    <xf numFmtId="167" fontId="17" fillId="43" borderId="153" xfId="0" applyNumberFormat="1" applyFont="1" applyFill="1" applyBorder="1" applyAlignment="1" applyProtection="1">
      <alignment horizontal="right" vertical="center"/>
      <protection hidden="1"/>
    </xf>
    <xf numFmtId="44" fontId="17" fillId="32" borderId="1" xfId="0" applyNumberFormat="1" applyFont="1" applyFill="1" applyBorder="1" applyAlignment="1" applyProtection="1">
      <alignment horizontal="right" vertical="center"/>
      <protection hidden="1"/>
    </xf>
    <xf numFmtId="44" fontId="17" fillId="32" borderId="15" xfId="0" applyNumberFormat="1" applyFont="1" applyFill="1" applyBorder="1" applyAlignment="1" applyProtection="1">
      <alignment horizontal="right" vertical="center"/>
      <protection hidden="1"/>
    </xf>
    <xf numFmtId="44" fontId="17" fillId="32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3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4" borderId="154" xfId="2" applyFont="1" applyFill="1" applyBorder="1" applyAlignment="1">
      <alignment horizontal="right" vertical="center"/>
    </xf>
    <xf numFmtId="4" fontId="1" fillId="54" borderId="157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5" borderId="158" xfId="2" applyFont="1" applyFill="1" applyBorder="1" applyAlignment="1">
      <alignment horizontal="right" vertical="center"/>
    </xf>
    <xf numFmtId="4" fontId="1" fillId="55" borderId="157" xfId="2" applyNumberFormat="1" applyFont="1" applyFill="1" applyBorder="1" applyAlignment="1">
      <alignment vertical="center"/>
    </xf>
    <xf numFmtId="0" fontId="1" fillId="56" borderId="160" xfId="2" applyFont="1" applyFill="1" applyBorder="1" applyAlignment="1">
      <alignment vertical="center"/>
    </xf>
    <xf numFmtId="4" fontId="1" fillId="56" borderId="163" xfId="2" applyNumberFormat="1" applyFont="1" applyFill="1" applyBorder="1" applyAlignment="1">
      <alignment vertical="center"/>
    </xf>
    <xf numFmtId="0" fontId="1" fillId="57" borderId="164" xfId="2" applyFont="1" applyFill="1" applyBorder="1" applyAlignment="1">
      <alignment vertical="center"/>
    </xf>
    <xf numFmtId="4" fontId="1" fillId="57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8" borderId="0" xfId="2" applyFont="1" applyFill="1" applyBorder="1" applyAlignment="1">
      <alignment vertical="center"/>
    </xf>
    <xf numFmtId="4" fontId="2" fillId="58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59" borderId="0" xfId="2" applyFont="1" applyFill="1" applyBorder="1" applyAlignment="1">
      <alignment horizontal="left" vertical="center"/>
    </xf>
    <xf numFmtId="4" fontId="2" fillId="59" borderId="0" xfId="2" applyNumberFormat="1" applyFont="1" applyFill="1" applyBorder="1" applyAlignment="1">
      <alignment vertical="center"/>
    </xf>
    <xf numFmtId="0" fontId="37" fillId="0" borderId="167" xfId="2" applyBorder="1" applyAlignment="1">
      <alignment horizontal="left"/>
    </xf>
    <xf numFmtId="0" fontId="37" fillId="0" borderId="167" xfId="2" applyFont="1" applyBorder="1"/>
    <xf numFmtId="0" fontId="37" fillId="0" borderId="0" xfId="2" applyAlignment="1">
      <alignment horizontal="left"/>
    </xf>
    <xf numFmtId="43" fontId="28" fillId="47" borderId="15" xfId="0" applyNumberFormat="1" applyFont="1" applyFill="1" applyBorder="1" applyAlignment="1"/>
    <xf numFmtId="49" fontId="28" fillId="60" borderId="108" xfId="0" applyNumberFormat="1" applyFont="1" applyFill="1" applyBorder="1" applyAlignment="1"/>
    <xf numFmtId="43" fontId="28" fillId="60" borderId="4" xfId="0" applyNumberFormat="1" applyFont="1" applyFill="1" applyBorder="1"/>
    <xf numFmtId="43" fontId="28" fillId="60" borderId="108" xfId="0" applyNumberFormat="1" applyFont="1" applyFill="1" applyBorder="1" applyAlignment="1">
      <alignment horizontal="right" vertical="center"/>
    </xf>
    <xf numFmtId="43" fontId="28" fillId="60" borderId="116" xfId="0" applyNumberFormat="1" applyFont="1" applyFill="1" applyBorder="1" applyAlignment="1">
      <alignment horizontal="right" vertical="center"/>
    </xf>
    <xf numFmtId="43" fontId="28" fillId="60" borderId="102" xfId="0" applyNumberFormat="1" applyFont="1" applyFill="1" applyBorder="1" applyAlignment="1">
      <alignment horizontal="right"/>
    </xf>
    <xf numFmtId="43" fontId="28" fillId="60" borderId="103" xfId="0" applyNumberFormat="1" applyFont="1" applyFill="1" applyBorder="1" applyAlignment="1">
      <alignment horizontal="right"/>
    </xf>
    <xf numFmtId="49" fontId="28" fillId="47" borderId="13" xfId="0" applyNumberFormat="1" applyFont="1" applyFill="1" applyBorder="1" applyAlignment="1"/>
    <xf numFmtId="0" fontId="0" fillId="60" borderId="0" xfId="0" applyFill="1"/>
    <xf numFmtId="49" fontId="28" fillId="60" borderId="13" xfId="0" applyNumberFormat="1" applyFont="1" applyFill="1" applyBorder="1" applyAlignment="1"/>
    <xf numFmtId="43" fontId="28" fillId="60" borderId="15" xfId="1" applyNumberFormat="1" applyFont="1" applyFill="1" applyBorder="1" applyAlignment="1"/>
    <xf numFmtId="43" fontId="28" fillId="60" borderId="102" xfId="1" applyNumberFormat="1" applyFont="1" applyFill="1" applyBorder="1" applyAlignment="1"/>
    <xf numFmtId="43" fontId="28" fillId="60" borderId="13" xfId="1" applyNumberFormat="1" applyFont="1" applyFill="1" applyBorder="1" applyAlignment="1"/>
    <xf numFmtId="43" fontId="28" fillId="60" borderId="103" xfId="0" applyNumberFormat="1" applyFont="1" applyFill="1" applyBorder="1" applyAlignment="1"/>
    <xf numFmtId="43" fontId="28" fillId="60" borderId="14" xfId="1" applyNumberFormat="1" applyFont="1" applyFill="1" applyBorder="1" applyAlignment="1"/>
    <xf numFmtId="43" fontId="28" fillId="60" borderId="1" xfId="1" applyNumberFormat="1" applyFont="1" applyFill="1" applyBorder="1" applyAlignment="1"/>
    <xf numFmtId="43" fontId="28" fillId="60" borderId="15" xfId="0" applyNumberFormat="1" applyFont="1" applyFill="1" applyBorder="1" applyAlignment="1"/>
    <xf numFmtId="49" fontId="36" fillId="60" borderId="28" xfId="0" applyNumberFormat="1" applyFont="1" applyFill="1" applyBorder="1" applyProtection="1">
      <protection hidden="1"/>
    </xf>
    <xf numFmtId="43" fontId="28" fillId="60" borderId="4" xfId="0" applyNumberFormat="1" applyFont="1" applyFill="1" applyBorder="1" applyProtection="1">
      <protection hidden="1"/>
    </xf>
    <xf numFmtId="43" fontId="28" fillId="60" borderId="102" xfId="0" applyNumberFormat="1" applyFont="1" applyFill="1" applyBorder="1" applyAlignment="1" applyProtection="1">
      <protection hidden="1"/>
    </xf>
    <xf numFmtId="43" fontId="28" fillId="60" borderId="103" xfId="0" applyNumberFormat="1" applyFont="1" applyFill="1" applyBorder="1" applyAlignment="1" applyProtection="1">
      <protection hidden="1"/>
    </xf>
    <xf numFmtId="43" fontId="28" fillId="60" borderId="103" xfId="0" applyNumberFormat="1" applyFont="1" applyFill="1" applyBorder="1" applyAlignment="1" applyProtection="1">
      <alignment horizontal="right"/>
      <protection hidden="1"/>
    </xf>
    <xf numFmtId="43" fontId="28" fillId="60" borderId="13" xfId="0" applyNumberFormat="1" applyFont="1" applyFill="1" applyBorder="1" applyAlignment="1" applyProtection="1">
      <protection hidden="1"/>
    </xf>
    <xf numFmtId="43" fontId="28" fillId="60" borderId="15" xfId="0" applyNumberFormat="1" applyFont="1" applyFill="1" applyBorder="1" applyAlignment="1" applyProtection="1">
      <protection hidden="1"/>
    </xf>
    <xf numFmtId="43" fontId="28" fillId="60" borderId="52" xfId="0" applyNumberFormat="1" applyFont="1" applyFill="1" applyBorder="1" applyAlignment="1" applyProtection="1">
      <protection hidden="1"/>
    </xf>
    <xf numFmtId="0" fontId="0" fillId="60" borderId="0" xfId="0" applyFill="1" applyProtection="1">
      <protection hidden="1"/>
    </xf>
    <xf numFmtId="49" fontId="28" fillId="60" borderId="134" xfId="0" applyNumberFormat="1" applyFont="1" applyFill="1" applyBorder="1" applyAlignment="1" applyProtection="1">
      <protection hidden="1"/>
    </xf>
    <xf numFmtId="43" fontId="28" fillId="60" borderId="134" xfId="1" applyFont="1" applyFill="1" applyBorder="1" applyAlignment="1" applyProtection="1">
      <protection hidden="1"/>
    </xf>
    <xf numFmtId="43" fontId="28" fillId="60" borderId="102" xfId="1" applyFont="1" applyFill="1" applyBorder="1" applyAlignment="1" applyProtection="1">
      <protection hidden="1"/>
    </xf>
    <xf numFmtId="43" fontId="28" fillId="60" borderId="1" xfId="1" applyFont="1" applyFill="1" applyBorder="1" applyAlignment="1" applyProtection="1">
      <protection hidden="1"/>
    </xf>
    <xf numFmtId="43" fontId="28" fillId="48" borderId="15" xfId="0" applyNumberFormat="1" applyFont="1" applyFill="1" applyBorder="1" applyAlignment="1" applyProtection="1">
      <alignment horizontal="right"/>
      <protection hidden="1"/>
    </xf>
    <xf numFmtId="43" fontId="28" fillId="48" borderId="102" xfId="0" applyNumberFormat="1" applyFont="1" applyFill="1" applyBorder="1" applyAlignment="1" applyProtection="1">
      <alignment horizontal="right"/>
      <protection hidden="1"/>
    </xf>
    <xf numFmtId="43" fontId="28" fillId="60" borderId="15" xfId="0" applyNumberFormat="1" applyFont="1" applyFill="1" applyBorder="1" applyAlignment="1" applyProtection="1">
      <alignment horizontal="right"/>
      <protection hidden="1"/>
    </xf>
    <xf numFmtId="43" fontId="28" fillId="60" borderId="102" xfId="0" applyNumberFormat="1" applyFont="1" applyFill="1" applyBorder="1" applyAlignment="1" applyProtection="1">
      <alignment horizontal="right"/>
      <protection hidden="1"/>
    </xf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2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3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4" xfId="0" applyNumberFormat="1" applyFont="1" applyFill="1" applyBorder="1" applyAlignment="1" applyProtection="1">
      <protection hidden="1"/>
    </xf>
    <xf numFmtId="43" fontId="28" fillId="61" borderId="134" xfId="1" applyFont="1" applyFill="1" applyBorder="1" applyAlignment="1" applyProtection="1">
      <protection hidden="1"/>
    </xf>
    <xf numFmtId="43" fontId="28" fillId="61" borderId="102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0" fontId="0" fillId="61" borderId="0" xfId="0" applyFill="1"/>
    <xf numFmtId="4" fontId="1" fillId="61" borderId="2" xfId="2" applyNumberFormat="1" applyFont="1" applyFill="1" applyBorder="1" applyAlignment="1">
      <alignment vertical="center"/>
    </xf>
    <xf numFmtId="4" fontId="1" fillId="61" borderId="14" xfId="2" applyNumberFormat="1" applyFont="1" applyFill="1" applyBorder="1" applyAlignment="1">
      <alignment vertical="center"/>
    </xf>
    <xf numFmtId="4" fontId="1" fillId="61" borderId="1" xfId="2" applyNumberFormat="1" applyFont="1" applyFill="1" applyBorder="1" applyAlignment="1">
      <alignment vertical="center"/>
    </xf>
    <xf numFmtId="4" fontId="1" fillId="61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5" borderId="108" xfId="0" applyNumberFormat="1" applyFont="1" applyFill="1" applyBorder="1" applyAlignment="1"/>
    <xf numFmtId="43" fontId="28" fillId="45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1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3" fontId="28" fillId="0" borderId="119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17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8" xfId="0" applyNumberFormat="1" applyFont="1" applyFill="1" applyBorder="1" applyAlignment="1"/>
    <xf numFmtId="43" fontId="28" fillId="0" borderId="124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5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2" borderId="3" xfId="0" applyNumberFormat="1" applyFont="1" applyFill="1" applyBorder="1" applyAlignment="1">
      <alignment vertical="center" wrapText="1"/>
    </xf>
    <xf numFmtId="43" fontId="15" fillId="52" borderId="12" xfId="0" applyNumberFormat="1" applyFont="1" applyFill="1" applyBorder="1" applyAlignment="1">
      <alignment vertical="center" wrapText="1"/>
    </xf>
    <xf numFmtId="0" fontId="15" fillId="52" borderId="0" xfId="0" applyFont="1" applyFill="1" applyBorder="1" applyAlignment="1">
      <alignment horizontal="center" vertical="center"/>
    </xf>
    <xf numFmtId="3" fontId="15" fillId="5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51" fillId="10" borderId="2" xfId="0" applyNumberFormat="1" applyFont="1" applyFill="1" applyBorder="1" applyAlignment="1" applyProtection="1">
      <alignment vertical="center" wrapText="1"/>
      <protection hidden="1"/>
    </xf>
    <xf numFmtId="4" fontId="51" fillId="10" borderId="1" xfId="0" applyNumberFormat="1" applyFont="1" applyFill="1" applyBorder="1" applyAlignment="1" applyProtection="1">
      <alignment vertical="center" wrapText="1"/>
      <protection hidden="1"/>
    </xf>
    <xf numFmtId="4" fontId="51" fillId="11" borderId="3" xfId="0" applyNumberFormat="1" applyFont="1" applyFill="1" applyBorder="1" applyAlignment="1" applyProtection="1">
      <alignment vertical="center" wrapText="1"/>
      <protection hidden="1"/>
    </xf>
    <xf numFmtId="4" fontId="12" fillId="0" borderId="14" xfId="0" applyNumberFormat="1" applyFont="1" applyBorder="1" applyAlignment="1">
      <alignment horizontal="center" vertical="center" wrapText="1"/>
    </xf>
    <xf numFmtId="4" fontId="51" fillId="3" borderId="2" xfId="0" applyNumberFormat="1" applyFont="1" applyFill="1" applyBorder="1" applyAlignment="1">
      <alignment vertical="center" wrapText="1"/>
    </xf>
    <xf numFmtId="4" fontId="51" fillId="4" borderId="1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4" fontId="51" fillId="0" borderId="1" xfId="0" applyNumberFormat="1" applyFont="1" applyFill="1" applyBorder="1" applyAlignment="1" applyProtection="1">
      <alignment vertical="center" wrapText="1"/>
      <protection hidden="1"/>
    </xf>
    <xf numFmtId="4" fontId="51" fillId="0" borderId="1" xfId="0" applyNumberFormat="1" applyFont="1" applyFill="1" applyBorder="1" applyAlignment="1">
      <alignment vertical="center" wrapText="1"/>
    </xf>
    <xf numFmtId="164" fontId="51" fillId="20" borderId="1" xfId="0" applyNumberFormat="1" applyFont="1" applyFill="1" applyBorder="1" applyAlignment="1" applyProtection="1">
      <alignment vertical="center" wrapText="1"/>
      <protection hidden="1"/>
    </xf>
    <xf numFmtId="4" fontId="51" fillId="20" borderId="1" xfId="0" applyNumberFormat="1" applyFont="1" applyFill="1" applyBorder="1" applyAlignment="1" applyProtection="1">
      <alignment vertical="center" wrapText="1"/>
      <protection hidden="1"/>
    </xf>
    <xf numFmtId="0" fontId="51" fillId="0" borderId="14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5" borderId="12" xfId="0" applyNumberFormat="1" applyFont="1" applyFill="1" applyBorder="1" applyAlignment="1">
      <alignment vertical="center" wrapText="1"/>
    </xf>
    <xf numFmtId="4" fontId="51" fillId="5" borderId="8" xfId="0" applyNumberFormat="1" applyFont="1" applyFill="1" applyBorder="1" applyAlignment="1">
      <alignment vertical="center" wrapText="1"/>
    </xf>
    <xf numFmtId="4" fontId="51" fillId="0" borderId="14" xfId="0" applyNumberFormat="1" applyFont="1" applyFill="1" applyBorder="1" applyAlignment="1">
      <alignment vertical="center" wrapText="1"/>
    </xf>
    <xf numFmtId="4" fontId="51" fillId="6" borderId="13" xfId="0" applyNumberFormat="1" applyFont="1" applyFill="1" applyBorder="1" applyAlignment="1">
      <alignment vertical="center" wrapText="1"/>
    </xf>
    <xf numFmtId="4" fontId="51" fillId="6" borderId="1" xfId="0" applyNumberFormat="1" applyFont="1" applyFill="1" applyBorder="1" applyAlignment="1">
      <alignment vertical="center" wrapText="1"/>
    </xf>
    <xf numFmtId="4" fontId="51" fillId="7" borderId="1" xfId="0" applyNumberFormat="1" applyFont="1" applyFill="1" applyBorder="1" applyAlignment="1">
      <alignment vertical="center" wrapText="1"/>
    </xf>
    <xf numFmtId="4" fontId="51" fillId="8" borderId="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4" fontId="51" fillId="9" borderId="12" xfId="0" applyNumberFormat="1" applyFont="1" applyFill="1" applyBorder="1" applyAlignment="1">
      <alignment vertical="center" wrapText="1"/>
    </xf>
    <xf numFmtId="4" fontId="51" fillId="9" borderId="8" xfId="0" applyNumberFormat="1" applyFont="1" applyFill="1" applyBorder="1" applyAlignment="1">
      <alignment vertical="center" wrapText="1"/>
    </xf>
    <xf numFmtId="4" fontId="51" fillId="12" borderId="1" xfId="0" applyNumberFormat="1" applyFont="1" applyFill="1" applyBorder="1" applyAlignment="1">
      <alignment vertical="center" wrapText="1"/>
    </xf>
    <xf numFmtId="4" fontId="51" fillId="0" borderId="6" xfId="0" applyNumberFormat="1" applyFont="1" applyFill="1" applyBorder="1" applyAlignment="1">
      <alignment vertical="center" wrapText="1"/>
    </xf>
    <xf numFmtId="4" fontId="51" fillId="0" borderId="3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1" fillId="2" borderId="14" xfId="0" applyNumberFormat="1" applyFont="1" applyFill="1" applyBorder="1" applyAlignment="1">
      <alignment vertical="center" wrapText="1"/>
    </xf>
    <xf numFmtId="4" fontId="51" fillId="13" borderId="11" xfId="0" applyNumberFormat="1" applyFont="1" applyFill="1" applyBorder="1" applyAlignment="1">
      <alignment vertical="center" wrapText="1"/>
    </xf>
    <xf numFmtId="4" fontId="51" fillId="13" borderId="2" xfId="0" applyNumberFormat="1" applyFont="1" applyFill="1" applyBorder="1" applyAlignment="1">
      <alignment vertical="center" wrapText="1"/>
    </xf>
    <xf numFmtId="4" fontId="51" fillId="14" borderId="12" xfId="0" applyNumberFormat="1" applyFont="1" applyFill="1" applyBorder="1" applyAlignment="1">
      <alignment vertical="center" wrapText="1"/>
    </xf>
    <xf numFmtId="4" fontId="51" fillId="14" borderId="8" xfId="0" applyNumberFormat="1" applyFont="1" applyFill="1" applyBorder="1" applyAlignment="1">
      <alignment vertical="center" wrapText="1"/>
    </xf>
    <xf numFmtId="4" fontId="51" fillId="0" borderId="2" xfId="0" applyNumberFormat="1" applyFont="1" applyFill="1" applyBorder="1" applyAlignment="1">
      <alignment vertical="center" wrapText="1"/>
    </xf>
    <xf numFmtId="4" fontId="51" fillId="17" borderId="1" xfId="0" applyNumberFormat="1" applyFont="1" applyFill="1" applyBorder="1" applyAlignment="1">
      <alignment vertical="center" wrapText="1"/>
    </xf>
    <xf numFmtId="4" fontId="51" fillId="17" borderId="13" xfId="0" applyNumberFormat="1" applyFont="1" applyFill="1" applyBorder="1" applyAlignment="1">
      <alignment vertical="center" wrapText="1"/>
    </xf>
    <xf numFmtId="4" fontId="51" fillId="15" borderId="13" xfId="0" applyNumberFormat="1" applyFont="1" applyFill="1" applyBorder="1" applyAlignment="1">
      <alignment vertical="center" wrapText="1"/>
    </xf>
    <xf numFmtId="4" fontId="51" fillId="15" borderId="1" xfId="0" applyNumberFormat="1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4" fontId="51" fillId="0" borderId="5" xfId="0" applyNumberFormat="1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52" fillId="66" borderId="0" xfId="0" applyFont="1" applyFill="1" applyAlignment="1">
      <alignment vertical="center"/>
    </xf>
    <xf numFmtId="0" fontId="53" fillId="16" borderId="0" xfId="0" applyFont="1" applyFill="1" applyAlignment="1">
      <alignment vertical="center"/>
    </xf>
    <xf numFmtId="4" fontId="52" fillId="66" borderId="1" xfId="0" applyNumberFormat="1" applyFont="1" applyFill="1" applyBorder="1" applyAlignment="1">
      <alignment vertical="center" wrapText="1"/>
    </xf>
    <xf numFmtId="4" fontId="53" fillId="16" borderId="1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" xfId="0" applyFont="1" applyBorder="1" applyAlignment="1" applyProtection="1">
      <alignment horizontal="center" vertical="center" wrapText="1"/>
      <protection hidden="1"/>
    </xf>
    <xf numFmtId="0" fontId="51" fillId="0" borderId="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65" fontId="51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169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65" fontId="51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 wrapText="1"/>
    </xf>
    <xf numFmtId="4" fontId="51" fillId="0" borderId="5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0" xfId="0" applyFont="1"/>
    <xf numFmtId="0" fontId="12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/>
    <xf numFmtId="0" fontId="51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28" fillId="65" borderId="1" xfId="0" applyNumberFormat="1" applyFont="1" applyFill="1" applyBorder="1" applyAlignment="1">
      <alignment horizontal="right"/>
    </xf>
    <xf numFmtId="43" fontId="28" fillId="65" borderId="3" xfId="0" applyNumberFormat="1" applyFont="1" applyFill="1" applyBorder="1" applyAlignment="1">
      <alignment horizontal="right"/>
    </xf>
    <xf numFmtId="43" fontId="28" fillId="65" borderId="4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vertical="center" wrapText="1"/>
    </xf>
    <xf numFmtId="4" fontId="51" fillId="0" borderId="6" xfId="0" applyNumberFormat="1" applyFont="1" applyBorder="1" applyAlignment="1">
      <alignment vertical="center"/>
    </xf>
    <xf numFmtId="0" fontId="52" fillId="66" borderId="8" xfId="0" applyFont="1" applyFill="1" applyBorder="1" applyAlignment="1">
      <alignment vertical="center"/>
    </xf>
    <xf numFmtId="4" fontId="53" fillId="16" borderId="13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Fill="1" applyBorder="1" applyProtection="1">
      <protection hidden="1"/>
    </xf>
    <xf numFmtId="0" fontId="58" fillId="0" borderId="4" xfId="0" applyFont="1" applyBorder="1" applyProtection="1">
      <protection hidden="1"/>
    </xf>
    <xf numFmtId="15" fontId="59" fillId="0" borderId="7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Fill="1" applyProtection="1">
      <protection hidden="1"/>
    </xf>
    <xf numFmtId="0" fontId="58" fillId="0" borderId="7" xfId="0" applyFont="1" applyBorder="1" applyProtection="1">
      <protection hidden="1"/>
    </xf>
    <xf numFmtId="0" fontId="58" fillId="0" borderId="7" xfId="0" applyFont="1" applyFill="1" applyBorder="1" applyProtection="1">
      <protection hidden="1"/>
    </xf>
    <xf numFmtId="0" fontId="58" fillId="0" borderId="9" xfId="0" applyFont="1" applyBorder="1" applyProtection="1"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 shrinkToFit="1"/>
    </xf>
    <xf numFmtId="4" fontId="10" fillId="25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68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2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2" borderId="0" xfId="0" applyNumberFormat="1" applyFont="1" applyFill="1" applyBorder="1" applyAlignment="1">
      <alignment horizontal="center" vertical="center" wrapText="1"/>
    </xf>
    <xf numFmtId="166" fontId="15" fillId="52" borderId="0" xfId="0" applyNumberFormat="1" applyFont="1" applyFill="1" applyBorder="1" applyAlignment="1">
      <alignment horizontal="center" vertical="center" wrapText="1"/>
    </xf>
    <xf numFmtId="43" fontId="14" fillId="52" borderId="0" xfId="0" applyNumberFormat="1" applyFont="1" applyFill="1" applyBorder="1" applyAlignment="1">
      <alignment horizontal="center" vertical="center" wrapText="1"/>
    </xf>
    <xf numFmtId="0" fontId="61" fillId="21" borderId="0" xfId="5" applyFont="1" applyFill="1" applyBorder="1" applyAlignment="1" applyProtection="1">
      <alignment horizontal="center" vertical="center" wrapText="1"/>
      <protection hidden="1"/>
    </xf>
    <xf numFmtId="0" fontId="3" fillId="21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4" borderId="0" xfId="5" applyFont="1" applyFill="1" applyBorder="1" applyAlignment="1" applyProtection="1">
      <alignment horizontal="center" vertical="center" wrapText="1"/>
      <protection hidden="1"/>
    </xf>
    <xf numFmtId="0" fontId="3" fillId="68" borderId="0" xfId="5" applyFont="1" applyFill="1" applyBorder="1" applyAlignment="1" applyProtection="1">
      <alignment horizontal="center" vertical="center" wrapText="1"/>
      <protection hidden="1"/>
    </xf>
    <xf numFmtId="43" fontId="3" fillId="21" borderId="165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Border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43" fontId="28" fillId="71" borderId="102" xfId="1" applyNumberFormat="1" applyFont="1" applyFill="1" applyBorder="1" applyAlignment="1"/>
    <xf numFmtId="0" fontId="17" fillId="68" borderId="1" xfId="0" applyFont="1" applyFill="1" applyBorder="1" applyAlignment="1" applyProtection="1">
      <alignment vertical="center" wrapText="1"/>
      <protection hidden="1"/>
    </xf>
    <xf numFmtId="43" fontId="17" fillId="68" borderId="1" xfId="0" applyNumberFormat="1" applyFont="1" applyFill="1" applyBorder="1" applyAlignment="1" applyProtection="1">
      <alignment horizontal="right" vertical="center"/>
      <protection hidden="1"/>
    </xf>
    <xf numFmtId="43" fontId="17" fillId="68" borderId="62" xfId="0" applyNumberFormat="1" applyFont="1" applyFill="1" applyBorder="1" applyAlignment="1" applyProtection="1">
      <alignment horizontal="right" vertical="center"/>
      <protection hidden="1"/>
    </xf>
    <xf numFmtId="43" fontId="17" fillId="68" borderId="13" xfId="0" applyNumberFormat="1" applyFont="1" applyFill="1" applyBorder="1" applyAlignment="1" applyProtection="1">
      <alignment horizontal="right" vertical="center"/>
      <protection hidden="1"/>
    </xf>
    <xf numFmtId="43" fontId="17" fillId="68" borderId="15" xfId="0" applyNumberFormat="1" applyFont="1" applyFill="1" applyBorder="1" applyAlignment="1" applyProtection="1">
      <alignment horizontal="right" vertical="center"/>
      <protection hidden="1"/>
    </xf>
    <xf numFmtId="0" fontId="17" fillId="68" borderId="60" xfId="0" applyFont="1" applyFill="1" applyBorder="1" applyAlignment="1" applyProtection="1">
      <alignment horizontal="left" vertical="center"/>
      <protection hidden="1"/>
    </xf>
    <xf numFmtId="49" fontId="17" fillId="68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43" fontId="17" fillId="72" borderId="1" xfId="0" applyNumberFormat="1" applyFont="1" applyFill="1" applyBorder="1" applyAlignment="1" applyProtection="1">
      <alignment horizontal="right" vertical="center"/>
      <protection hidden="1"/>
    </xf>
    <xf numFmtId="43" fontId="17" fillId="72" borderId="62" xfId="0" applyNumberFormat="1" applyFont="1" applyFill="1" applyBorder="1" applyAlignment="1" applyProtection="1">
      <alignment horizontal="right" vertical="center"/>
      <protection hidden="1"/>
    </xf>
    <xf numFmtId="43" fontId="17" fillId="72" borderId="13" xfId="0" applyNumberFormat="1" applyFont="1" applyFill="1" applyBorder="1" applyAlignment="1" applyProtection="1">
      <alignment horizontal="right" vertical="center"/>
      <protection hidden="1"/>
    </xf>
    <xf numFmtId="43" fontId="17" fillId="72" borderId="15" xfId="0" applyNumberFormat="1" applyFont="1" applyFill="1" applyBorder="1" applyAlignment="1" applyProtection="1">
      <alignment horizontal="right" vertical="center"/>
      <protection hidden="1"/>
    </xf>
    <xf numFmtId="0" fontId="17" fillId="72" borderId="60" xfId="0" applyFont="1" applyFill="1" applyBorder="1" applyAlignment="1" applyProtection="1">
      <alignment horizontal="left" vertical="center"/>
      <protection hidden="1"/>
    </xf>
    <xf numFmtId="0" fontId="17" fillId="0" borderId="15" xfId="0" applyFont="1" applyBorder="1" applyProtection="1">
      <protection hidden="1"/>
    </xf>
    <xf numFmtId="0" fontId="17" fillId="0" borderId="13" xfId="0" applyFont="1" applyBorder="1" applyProtection="1">
      <protection hidden="1"/>
    </xf>
    <xf numFmtId="0" fontId="17" fillId="0" borderId="14" xfId="0" applyFont="1" applyBorder="1" applyProtection="1">
      <protection hidden="1"/>
    </xf>
    <xf numFmtId="43" fontId="17" fillId="21" borderId="178" xfId="0" applyNumberFormat="1" applyFont="1" applyFill="1" applyBorder="1" applyAlignment="1" applyProtection="1">
      <alignment horizontal="right" vertical="center"/>
      <protection hidden="1"/>
    </xf>
    <xf numFmtId="43" fontId="17" fillId="21" borderId="179" xfId="0" applyNumberFormat="1" applyFont="1" applyFill="1" applyBorder="1" applyAlignment="1" applyProtection="1">
      <alignment horizontal="right" vertical="center"/>
      <protection hidden="1"/>
    </xf>
    <xf numFmtId="43" fontId="17" fillId="21" borderId="180" xfId="0" applyNumberFormat="1" applyFont="1" applyFill="1" applyBorder="1" applyAlignment="1" applyProtection="1">
      <alignment horizontal="right" vertical="center"/>
      <protection hidden="1"/>
    </xf>
    <xf numFmtId="0" fontId="17" fillId="0" borderId="179" xfId="0" applyFont="1" applyBorder="1" applyProtection="1">
      <protection hidden="1"/>
    </xf>
    <xf numFmtId="0" fontId="17" fillId="0" borderId="181" xfId="0" applyFont="1" applyBorder="1" applyProtection="1">
      <protection hidden="1"/>
    </xf>
    <xf numFmtId="0" fontId="17" fillId="0" borderId="180" xfId="0" applyFont="1" applyBorder="1" applyProtection="1">
      <protection hidden="1"/>
    </xf>
    <xf numFmtId="0" fontId="17" fillId="0" borderId="182" xfId="0" applyFont="1" applyFill="1" applyBorder="1" applyAlignment="1" applyProtection="1">
      <alignment vertical="center"/>
      <protection hidden="1"/>
    </xf>
    <xf numFmtId="4" fontId="17" fillId="0" borderId="178" xfId="0" applyNumberFormat="1" applyFont="1" applyFill="1" applyBorder="1" applyAlignment="1" applyProtection="1">
      <alignment vertical="center"/>
      <protection hidden="1"/>
    </xf>
    <xf numFmtId="0" fontId="66" fillId="30" borderId="1" xfId="0" applyFont="1" applyFill="1" applyBorder="1" applyAlignment="1" applyProtection="1">
      <alignment vertical="center" wrapText="1"/>
      <protection hidden="1"/>
    </xf>
    <xf numFmtId="43" fontId="66" fillId="30" borderId="1" xfId="0" applyNumberFormat="1" applyFont="1" applyFill="1" applyBorder="1" applyAlignment="1" applyProtection="1">
      <alignment horizontal="right" vertical="center"/>
      <protection hidden="1"/>
    </xf>
    <xf numFmtId="43" fontId="66" fillId="30" borderId="62" xfId="0" applyNumberFormat="1" applyFont="1" applyFill="1" applyBorder="1" applyAlignment="1" applyProtection="1">
      <alignment horizontal="right" vertical="center"/>
      <protection hidden="1"/>
    </xf>
    <xf numFmtId="43" fontId="66" fillId="30" borderId="13" xfId="0" applyNumberFormat="1" applyFont="1" applyFill="1" applyBorder="1" applyAlignment="1" applyProtection="1">
      <alignment horizontal="right" vertical="center"/>
      <protection hidden="1"/>
    </xf>
    <xf numFmtId="0" fontId="66" fillId="28" borderId="13" xfId="0" applyFont="1" applyFill="1" applyBorder="1" applyAlignment="1" applyProtection="1">
      <alignment horizontal="center" vertical="center" wrapText="1"/>
      <protection hidden="1"/>
    </xf>
    <xf numFmtId="0" fontId="66" fillId="28" borderId="1" xfId="0" applyFont="1" applyFill="1" applyBorder="1" applyAlignment="1" applyProtection="1">
      <alignment horizontal="center" vertical="center" wrapText="1"/>
      <protection hidden="1"/>
    </xf>
    <xf numFmtId="0" fontId="17" fillId="21" borderId="184" xfId="0" applyFont="1" applyFill="1" applyBorder="1" applyAlignment="1" applyProtection="1">
      <alignment horizontal="left" vertical="center"/>
      <protection hidden="1"/>
    </xf>
    <xf numFmtId="0" fontId="63" fillId="0" borderId="1" xfId="0" applyFont="1" applyBorder="1" applyAlignment="1" applyProtection="1">
      <alignment vertical="center"/>
      <protection hidden="1"/>
    </xf>
    <xf numFmtId="0" fontId="64" fillId="72" borderId="1" xfId="0" applyFont="1" applyFill="1" applyBorder="1" applyAlignment="1" applyProtection="1">
      <alignment vertical="center" wrapText="1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3" fillId="21" borderId="1" xfId="0" applyFont="1" applyFill="1" applyBorder="1" applyAlignment="1" applyProtection="1">
      <alignment vertical="center" wrapText="1"/>
      <protection hidden="1"/>
    </xf>
    <xf numFmtId="0" fontId="65" fillId="41" borderId="1" xfId="0" applyFont="1" applyFill="1" applyBorder="1" applyAlignment="1" applyProtection="1">
      <alignment vertical="center" wrapText="1"/>
      <protection hidden="1"/>
    </xf>
    <xf numFmtId="166" fontId="17" fillId="68" borderId="0" xfId="0" applyNumberFormat="1" applyFont="1" applyFill="1" applyBorder="1" applyAlignment="1" applyProtection="1">
      <alignment horizontal="center" vertical="center" wrapText="1"/>
      <protection hidden="1"/>
    </xf>
    <xf numFmtId="0" fontId="66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vertical="center"/>
      <protection hidden="1"/>
    </xf>
    <xf numFmtId="43" fontId="17" fillId="0" borderId="1" xfId="0" applyNumberFormat="1" applyFont="1" applyBorder="1" applyAlignment="1" applyProtection="1">
      <alignment vertical="center"/>
      <protection hidden="1"/>
    </xf>
    <xf numFmtId="43" fontId="0" fillId="0" borderId="1" xfId="0" applyNumberFormat="1" applyBorder="1" applyAlignment="1">
      <alignment vertical="center"/>
    </xf>
    <xf numFmtId="4" fontId="17" fillId="29" borderId="8" xfId="0" applyNumberFormat="1" applyFont="1" applyFill="1" applyBorder="1" applyAlignment="1" applyProtection="1">
      <alignment vertical="center" wrapText="1"/>
      <protection hidden="1"/>
    </xf>
    <xf numFmtId="4" fontId="17" fillId="0" borderId="6" xfId="0" applyNumberFormat="1" applyFont="1" applyFill="1" applyBorder="1" applyAlignment="1" applyProtection="1">
      <alignment vertical="center"/>
      <protection hidden="1"/>
    </xf>
    <xf numFmtId="0" fontId="63" fillId="68" borderId="1" xfId="0" applyFont="1" applyFill="1" applyBorder="1" applyAlignment="1" applyProtection="1">
      <alignment vertical="center" wrapText="1"/>
      <protection hidden="1"/>
    </xf>
    <xf numFmtId="0" fontId="17" fillId="0" borderId="186" xfId="0" applyFont="1" applyBorder="1" applyProtection="1">
      <protection hidden="1"/>
    </xf>
    <xf numFmtId="49" fontId="62" fillId="21" borderId="1" xfId="0" applyNumberFormat="1" applyFont="1" applyFill="1" applyBorder="1" applyAlignment="1" applyProtection="1">
      <alignment vertical="center" wrapText="1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9" fontId="17" fillId="72" borderId="1" xfId="0" applyNumberFormat="1" applyFont="1" applyFill="1" applyBorder="1" applyAlignment="1" applyProtection="1">
      <alignment horizontal="center" vertical="center"/>
      <protection hidden="1"/>
    </xf>
    <xf numFmtId="0" fontId="17" fillId="73" borderId="1" xfId="0" applyFont="1" applyFill="1" applyBorder="1" applyAlignment="1" applyProtection="1">
      <alignment horizontal="left" vertical="center"/>
      <protection hidden="1"/>
    </xf>
    <xf numFmtId="166" fontId="17" fillId="73" borderId="1" xfId="0" applyNumberFormat="1" applyFont="1" applyFill="1" applyBorder="1" applyAlignment="1" applyProtection="1">
      <alignment horizontal="right" vertical="center"/>
      <protection hidden="1"/>
    </xf>
    <xf numFmtId="43" fontId="17" fillId="73" borderId="1" xfId="0" applyNumberFormat="1" applyFont="1" applyFill="1" applyBorder="1" applyAlignment="1" applyProtection="1">
      <alignment horizontal="right" vertical="center"/>
      <protection hidden="1"/>
    </xf>
    <xf numFmtId="0" fontId="63" fillId="73" borderId="1" xfId="0" applyFont="1" applyFill="1" applyBorder="1" applyAlignment="1" applyProtection="1">
      <alignment vertical="center" wrapText="1"/>
      <protection hidden="1"/>
    </xf>
    <xf numFmtId="49" fontId="17" fillId="73" borderId="1" xfId="0" applyNumberFormat="1" applyFont="1" applyFill="1" applyBorder="1" applyAlignment="1" applyProtection="1">
      <alignment horizontal="center" vertical="center"/>
      <protection hidden="1"/>
    </xf>
    <xf numFmtId="0" fontId="67" fillId="31" borderId="1" xfId="0" applyFont="1" applyFill="1" applyBorder="1" applyAlignment="1" applyProtection="1">
      <alignment vertical="center" wrapText="1"/>
      <protection hidden="1"/>
    </xf>
    <xf numFmtId="43" fontId="66" fillId="30" borderId="64" xfId="0" applyNumberFormat="1" applyFont="1" applyFill="1" applyBorder="1" applyAlignment="1" applyProtection="1">
      <alignment horizontal="right" vertical="center"/>
      <protection hidden="1"/>
    </xf>
    <xf numFmtId="43" fontId="66" fillId="30" borderId="187" xfId="0" applyNumberFormat="1" applyFont="1" applyFill="1" applyBorder="1" applyAlignment="1" applyProtection="1">
      <alignment horizontal="right" vertical="center"/>
      <protection hidden="1"/>
    </xf>
    <xf numFmtId="43" fontId="17" fillId="21" borderId="188" xfId="0" applyNumberFormat="1" applyFont="1" applyFill="1" applyBorder="1" applyAlignment="1" applyProtection="1">
      <alignment horizontal="right" vertical="center"/>
      <protection hidden="1"/>
    </xf>
    <xf numFmtId="43" fontId="20" fillId="30" borderId="188" xfId="0" applyNumberFormat="1" applyFont="1" applyFill="1" applyBorder="1" applyAlignment="1" applyProtection="1">
      <alignment horizontal="right" vertical="center"/>
      <protection hidden="1"/>
    </xf>
    <xf numFmtId="43" fontId="20" fillId="30" borderId="64" xfId="0" applyNumberFormat="1" applyFont="1" applyFill="1" applyBorder="1" applyAlignment="1" applyProtection="1">
      <alignment horizontal="right" vertical="center"/>
      <protection hidden="1"/>
    </xf>
    <xf numFmtId="4" fontId="68" fillId="0" borderId="5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0" fontId="69" fillId="0" borderId="0" xfId="0" applyFont="1" applyFill="1" applyBorder="1" applyProtection="1">
      <protection hidden="1"/>
    </xf>
    <xf numFmtId="0" fontId="69" fillId="0" borderId="0" xfId="0" applyFont="1" applyProtection="1"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55" fillId="0" borderId="3" xfId="0" applyNumberFormat="1" applyFont="1" applyBorder="1" applyAlignment="1" applyProtection="1">
      <alignment horizontal="center" vertical="center" wrapText="1"/>
      <protection hidden="1"/>
    </xf>
    <xf numFmtId="0" fontId="55" fillId="0" borderId="3" xfId="0" applyFont="1" applyBorder="1" applyAlignment="1" applyProtection="1">
      <alignment horizontal="center" vertical="center" wrapText="1"/>
      <protection hidden="1"/>
    </xf>
    <xf numFmtId="0" fontId="69" fillId="0" borderId="14" xfId="0" applyFont="1" applyBorder="1" applyProtection="1">
      <protection hidden="1"/>
    </xf>
    <xf numFmtId="0" fontId="55" fillId="0" borderId="14" xfId="0" applyFont="1" applyBorder="1" applyAlignment="1" applyProtection="1">
      <alignment horizontal="center" vertical="center" wrapText="1"/>
      <protection hidden="1"/>
    </xf>
    <xf numFmtId="4" fontId="55" fillId="0" borderId="14" xfId="0" applyNumberFormat="1" applyFont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vertical="center"/>
      <protection hidden="1"/>
    </xf>
    <xf numFmtId="0" fontId="69" fillId="10" borderId="1" xfId="0" applyFont="1" applyFill="1" applyBorder="1" applyAlignment="1" applyProtection="1">
      <alignment vertical="center"/>
      <protection hidden="1"/>
    </xf>
    <xf numFmtId="0" fontId="55" fillId="10" borderId="11" xfId="0" applyFont="1" applyFill="1" applyBorder="1" applyAlignment="1" applyProtection="1">
      <alignment vertical="center" wrapText="1"/>
      <protection hidden="1"/>
    </xf>
    <xf numFmtId="4" fontId="69" fillId="10" borderId="2" xfId="0" applyNumberFormat="1" applyFont="1" applyFill="1" applyBorder="1" applyAlignment="1" applyProtection="1">
      <alignment vertical="center" wrapText="1"/>
      <protection hidden="1"/>
    </xf>
    <xf numFmtId="4" fontId="69" fillId="10" borderId="9" xfId="0" applyNumberFormat="1" applyFont="1" applyFill="1" applyBorder="1" applyAlignment="1" applyProtection="1">
      <alignment vertical="center" wrapText="1"/>
      <protection hidden="1"/>
    </xf>
    <xf numFmtId="4" fontId="69" fillId="10" borderId="61" xfId="0" applyNumberFormat="1" applyFont="1" applyFill="1" applyBorder="1" applyAlignment="1" applyProtection="1">
      <alignment vertical="center" wrapText="1"/>
      <protection hidden="1"/>
    </xf>
    <xf numFmtId="4" fontId="69" fillId="10" borderId="11" xfId="0" applyNumberFormat="1" applyFont="1" applyFill="1" applyBorder="1" applyAlignment="1" applyProtection="1">
      <alignment vertical="center" wrapText="1"/>
      <protection hidden="1"/>
    </xf>
    <xf numFmtId="0" fontId="55" fillId="10" borderId="13" xfId="0" applyFont="1" applyFill="1" applyBorder="1" applyAlignment="1" applyProtection="1">
      <alignment vertical="center" wrapText="1"/>
      <protection hidden="1"/>
    </xf>
    <xf numFmtId="4" fontId="69" fillId="10" borderId="1" xfId="0" applyNumberFormat="1" applyFont="1" applyFill="1" applyBorder="1" applyAlignment="1" applyProtection="1">
      <alignment vertical="center" wrapText="1"/>
      <protection hidden="1"/>
    </xf>
    <xf numFmtId="4" fontId="69" fillId="10" borderId="15" xfId="0" applyNumberFormat="1" applyFont="1" applyFill="1" applyBorder="1" applyAlignment="1" applyProtection="1">
      <alignment vertical="center" wrapText="1"/>
      <protection hidden="1"/>
    </xf>
    <xf numFmtId="4" fontId="69" fillId="10" borderId="62" xfId="0" applyNumberFormat="1" applyFont="1" applyFill="1" applyBorder="1" applyAlignment="1" applyProtection="1">
      <alignment vertical="center" wrapText="1"/>
      <protection hidden="1"/>
    </xf>
    <xf numFmtId="4" fontId="69" fillId="10" borderId="13" xfId="0" applyNumberFormat="1" applyFont="1" applyFill="1" applyBorder="1" applyAlignment="1" applyProtection="1">
      <alignment vertical="center" wrapText="1"/>
      <protection hidden="1"/>
    </xf>
    <xf numFmtId="0" fontId="69" fillId="11" borderId="13" xfId="0" applyFont="1" applyFill="1" applyBorder="1" applyAlignment="1" applyProtection="1">
      <alignment vertical="center"/>
      <protection hidden="1"/>
    </xf>
    <xf numFmtId="0" fontId="55" fillId="11" borderId="6" xfId="0" applyFont="1" applyFill="1" applyBorder="1" applyAlignment="1" applyProtection="1">
      <alignment vertical="center" wrapText="1"/>
      <protection hidden="1"/>
    </xf>
    <xf numFmtId="4" fontId="69" fillId="11" borderId="3" xfId="0" applyNumberFormat="1" applyFont="1" applyFill="1" applyBorder="1" applyAlignment="1" applyProtection="1">
      <alignment vertical="center" wrapText="1"/>
      <protection hidden="1"/>
    </xf>
    <xf numFmtId="4" fontId="69" fillId="11" borderId="4" xfId="0" applyNumberFormat="1" applyFont="1" applyFill="1" applyBorder="1" applyAlignment="1" applyProtection="1">
      <alignment vertical="center" wrapText="1"/>
      <protection hidden="1"/>
    </xf>
    <xf numFmtId="4" fontId="69" fillId="11" borderId="68" xfId="0" applyNumberFormat="1" applyFont="1" applyFill="1" applyBorder="1" applyAlignment="1" applyProtection="1">
      <alignment vertical="center" wrapText="1"/>
      <protection hidden="1"/>
    </xf>
    <xf numFmtId="4" fontId="69" fillId="11" borderId="6" xfId="0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Fill="1" applyBorder="1"/>
    <xf numFmtId="0" fontId="69" fillId="0" borderId="14" xfId="0" applyFont="1" applyBorder="1"/>
    <xf numFmtId="0" fontId="55" fillId="0" borderId="14" xfId="0" applyFont="1" applyBorder="1" applyAlignment="1">
      <alignment horizontal="center" vertical="center" wrapText="1"/>
    </xf>
    <xf numFmtId="4" fontId="69" fillId="0" borderId="14" xfId="0" applyNumberFormat="1" applyFont="1" applyBorder="1" applyAlignment="1" applyProtection="1">
      <alignment horizontal="center" vertical="center" wrapText="1"/>
      <protection hidden="1"/>
    </xf>
    <xf numFmtId="4" fontId="55" fillId="0" borderId="0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3" borderId="1" xfId="0" applyFont="1" applyFill="1" applyBorder="1" applyAlignment="1">
      <alignment vertical="center"/>
    </xf>
    <xf numFmtId="0" fontId="55" fillId="3" borderId="13" xfId="0" applyFont="1" applyFill="1" applyBorder="1" applyAlignment="1">
      <alignment vertical="center" wrapText="1"/>
    </xf>
    <xf numFmtId="4" fontId="69" fillId="3" borderId="11" xfId="0" applyNumberFormat="1" applyFont="1" applyFill="1" applyBorder="1" applyAlignment="1" applyProtection="1">
      <alignment vertical="center" wrapText="1"/>
      <protection hidden="1"/>
    </xf>
    <xf numFmtId="4" fontId="69" fillId="3" borderId="9" xfId="0" applyNumberFormat="1" applyFont="1" applyFill="1" applyBorder="1" applyAlignment="1" applyProtection="1">
      <alignment vertical="center" wrapText="1"/>
      <protection hidden="1"/>
    </xf>
    <xf numFmtId="4" fontId="69" fillId="3" borderId="61" xfId="0" applyNumberFormat="1" applyFont="1" applyFill="1" applyBorder="1" applyAlignment="1">
      <alignment vertical="center" wrapText="1"/>
    </xf>
    <xf numFmtId="4" fontId="69" fillId="3" borderId="11" xfId="0" applyNumberFormat="1" applyFont="1" applyFill="1" applyBorder="1" applyAlignment="1">
      <alignment vertical="center" wrapText="1"/>
    </xf>
    <xf numFmtId="4" fontId="69" fillId="3" borderId="2" xfId="0" applyNumberFormat="1" applyFont="1" applyFill="1" applyBorder="1" applyAlignment="1">
      <alignment vertical="center" wrapText="1"/>
    </xf>
    <xf numFmtId="0" fontId="69" fillId="4" borderId="1" xfId="0" applyFont="1" applyFill="1" applyBorder="1" applyAlignment="1">
      <alignment vertical="center"/>
    </xf>
    <xf numFmtId="0" fontId="55" fillId="4" borderId="13" xfId="0" applyFont="1" applyFill="1" applyBorder="1" applyAlignment="1">
      <alignment vertical="center" wrapText="1"/>
    </xf>
    <xf numFmtId="4" fontId="69" fillId="4" borderId="13" xfId="0" applyNumberFormat="1" applyFont="1" applyFill="1" applyBorder="1" applyAlignment="1" applyProtection="1">
      <alignment vertical="center" wrapText="1"/>
      <protection hidden="1"/>
    </xf>
    <xf numFmtId="4" fontId="69" fillId="4" borderId="15" xfId="0" applyNumberFormat="1" applyFont="1" applyFill="1" applyBorder="1" applyAlignment="1" applyProtection="1">
      <alignment vertical="center" wrapText="1"/>
      <protection hidden="1"/>
    </xf>
    <xf numFmtId="4" fontId="69" fillId="4" borderId="62" xfId="0" applyNumberFormat="1" applyFont="1" applyFill="1" applyBorder="1" applyAlignment="1">
      <alignment vertical="center" wrapText="1"/>
    </xf>
    <xf numFmtId="4" fontId="69" fillId="4" borderId="13" xfId="0" applyNumberFormat="1" applyFont="1" applyFill="1" applyBorder="1" applyAlignment="1">
      <alignment vertical="center" wrapText="1"/>
    </xf>
    <xf numFmtId="4" fontId="69" fillId="4" borderId="1" xfId="0" applyNumberFormat="1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  <xf numFmtId="4" fontId="69" fillId="0" borderId="13" xfId="0" applyNumberFormat="1" applyFont="1" applyFill="1" applyBorder="1" applyAlignment="1" applyProtection="1">
      <alignment vertical="center" wrapText="1"/>
      <protection hidden="1"/>
    </xf>
    <xf numFmtId="4" fontId="69" fillId="0" borderId="15" xfId="0" applyNumberFormat="1" applyFont="1" applyFill="1" applyBorder="1" applyAlignment="1" applyProtection="1">
      <alignment vertical="center" wrapText="1"/>
      <protection hidden="1"/>
    </xf>
    <xf numFmtId="4" fontId="69" fillId="0" borderId="62" xfId="0" applyNumberFormat="1" applyFont="1" applyFill="1" applyBorder="1" applyAlignment="1">
      <alignment vertical="center" wrapText="1"/>
    </xf>
    <xf numFmtId="4" fontId="69" fillId="0" borderId="1" xfId="0" applyNumberFormat="1" applyFont="1" applyFill="1" applyBorder="1" applyAlignment="1" applyProtection="1">
      <alignment vertical="center" wrapText="1"/>
      <protection hidden="1"/>
    </xf>
    <xf numFmtId="4" fontId="69" fillId="0" borderId="1" xfId="0" applyNumberFormat="1" applyFont="1" applyFill="1" applyBorder="1" applyAlignment="1">
      <alignment vertical="center" wrapText="1"/>
    </xf>
    <xf numFmtId="0" fontId="69" fillId="0" borderId="13" xfId="0" applyFont="1" applyFill="1" applyBorder="1" applyAlignment="1">
      <alignment horizontal="left" vertical="center" wrapText="1" indent="2"/>
    </xf>
    <xf numFmtId="4" fontId="69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69" fillId="52" borderId="15" xfId="0" applyNumberFormat="1" applyFont="1" applyFill="1" applyBorder="1" applyAlignment="1" applyProtection="1">
      <alignment vertical="center" wrapText="1"/>
      <protection hidden="1"/>
    </xf>
    <xf numFmtId="0" fontId="69" fillId="20" borderId="1" xfId="0" applyFont="1" applyFill="1" applyBorder="1" applyAlignment="1" applyProtection="1">
      <alignment vertical="center"/>
      <protection hidden="1"/>
    </xf>
    <xf numFmtId="0" fontId="69" fillId="20" borderId="13" xfId="0" applyFont="1" applyFill="1" applyBorder="1" applyAlignment="1" applyProtection="1">
      <alignment vertical="center" wrapText="1"/>
      <protection hidden="1"/>
    </xf>
    <xf numFmtId="4" fontId="69" fillId="20" borderId="13" xfId="0" applyNumberFormat="1" applyFont="1" applyFill="1" applyBorder="1" applyAlignment="1" applyProtection="1">
      <alignment vertical="center" wrapText="1"/>
      <protection hidden="1"/>
    </xf>
    <xf numFmtId="4" fontId="69" fillId="20" borderId="15" xfId="0" applyNumberFormat="1" applyFont="1" applyFill="1" applyBorder="1" applyAlignment="1" applyProtection="1">
      <alignment vertical="center" wrapText="1"/>
      <protection hidden="1"/>
    </xf>
    <xf numFmtId="164" fontId="69" fillId="20" borderId="62" xfId="0" applyNumberFormat="1" applyFont="1" applyFill="1" applyBorder="1" applyAlignment="1" applyProtection="1">
      <alignment vertical="center" wrapText="1"/>
      <protection hidden="1"/>
    </xf>
    <xf numFmtId="164" fontId="69" fillId="20" borderId="13" xfId="0" applyNumberFormat="1" applyFont="1" applyFill="1" applyBorder="1" applyAlignment="1" applyProtection="1">
      <alignment vertical="center" wrapText="1"/>
      <protection hidden="1"/>
    </xf>
    <xf numFmtId="164" fontId="69" fillId="20" borderId="1" xfId="0" applyNumberFormat="1" applyFont="1" applyFill="1" applyBorder="1" applyAlignment="1" applyProtection="1">
      <alignment vertical="center" wrapText="1"/>
      <protection hidden="1"/>
    </xf>
    <xf numFmtId="4" fontId="69" fillId="0" borderId="62" xfId="0" quotePrefix="1" applyNumberFormat="1" applyFont="1" applyFill="1" applyBorder="1" applyAlignment="1">
      <alignment vertical="center" wrapText="1"/>
    </xf>
    <xf numFmtId="4" fontId="69" fillId="20" borderId="73" xfId="0" applyNumberFormat="1" applyFont="1" applyFill="1" applyBorder="1" applyAlignment="1" applyProtection="1">
      <alignment vertical="center" wrapText="1"/>
      <protection hidden="1"/>
    </xf>
    <xf numFmtId="4" fontId="69" fillId="20" borderId="6" xfId="0" applyNumberFormat="1" applyFont="1" applyFill="1" applyBorder="1" applyAlignment="1" applyProtection="1">
      <alignment vertical="center" wrapText="1"/>
      <protection hidden="1"/>
    </xf>
    <xf numFmtId="4" fontId="69" fillId="20" borderId="3" xfId="0" applyNumberFormat="1" applyFont="1" applyFill="1" applyBorder="1" applyAlignment="1" applyProtection="1">
      <alignment vertical="center" wrapText="1"/>
      <protection hidden="1"/>
    </xf>
    <xf numFmtId="0" fontId="69" fillId="0" borderId="14" xfId="0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9" fillId="0" borderId="183" xfId="0" applyNumberFormat="1" applyFont="1" applyFill="1" applyBorder="1" applyAlignment="1">
      <alignment vertical="center" wrapText="1"/>
    </xf>
    <xf numFmtId="0" fontId="69" fillId="5" borderId="1" xfId="0" applyFont="1" applyFill="1" applyBorder="1" applyAlignment="1">
      <alignment vertical="center"/>
    </xf>
    <xf numFmtId="0" fontId="55" fillId="5" borderId="13" xfId="0" applyFont="1" applyFill="1" applyBorder="1" applyAlignment="1">
      <alignment vertical="center" wrapText="1"/>
    </xf>
    <xf numFmtId="4" fontId="69" fillId="5" borderId="12" xfId="0" applyNumberFormat="1" applyFont="1" applyFill="1" applyBorder="1" applyAlignment="1">
      <alignment vertical="center" wrapText="1"/>
    </xf>
    <xf numFmtId="4" fontId="69" fillId="5" borderId="7" xfId="0" applyNumberFormat="1" applyFont="1" applyFill="1" applyBorder="1" applyAlignment="1">
      <alignment vertical="center" wrapText="1"/>
    </xf>
    <xf numFmtId="4" fontId="69" fillId="5" borderId="185" xfId="0" applyNumberFormat="1" applyFont="1" applyFill="1" applyBorder="1" applyAlignment="1">
      <alignment vertical="center" wrapText="1"/>
    </xf>
    <xf numFmtId="4" fontId="69" fillId="5" borderId="8" xfId="0" applyNumberFormat="1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4" fontId="69" fillId="0" borderId="14" xfId="0" applyNumberFormat="1" applyFont="1" applyFill="1" applyBorder="1" applyAlignment="1">
      <alignment vertical="center" wrapText="1"/>
    </xf>
    <xf numFmtId="4" fontId="69" fillId="0" borderId="0" xfId="0" applyNumberFormat="1" applyFont="1" applyFill="1" applyBorder="1" applyAlignment="1">
      <alignment vertical="center" wrapText="1"/>
    </xf>
    <xf numFmtId="0" fontId="69" fillId="6" borderId="1" xfId="0" applyFont="1" applyFill="1" applyBorder="1" applyAlignment="1">
      <alignment vertical="center"/>
    </xf>
    <xf numFmtId="0" fontId="55" fillId="6" borderId="13" xfId="0" applyFont="1" applyFill="1" applyBorder="1" applyAlignment="1">
      <alignment vertical="center" wrapText="1"/>
    </xf>
    <xf numFmtId="4" fontId="69" fillId="6" borderId="13" xfId="0" applyNumberFormat="1" applyFont="1" applyFill="1" applyBorder="1" applyAlignment="1">
      <alignment vertical="center" wrapText="1"/>
    </xf>
    <xf numFmtId="4" fontId="69" fillId="6" borderId="15" xfId="0" applyNumberFormat="1" applyFont="1" applyFill="1" applyBorder="1" applyAlignment="1">
      <alignment vertical="center" wrapText="1"/>
    </xf>
    <xf numFmtId="4" fontId="69" fillId="6" borderId="61" xfId="0" applyNumberFormat="1" applyFont="1" applyFill="1" applyBorder="1" applyAlignment="1">
      <alignment vertical="center" wrapText="1"/>
    </xf>
    <xf numFmtId="4" fontId="69" fillId="6" borderId="1" xfId="0" applyNumberFormat="1" applyFont="1" applyFill="1" applyBorder="1" applyAlignment="1">
      <alignment vertical="center" wrapText="1"/>
    </xf>
    <xf numFmtId="0" fontId="69" fillId="7" borderId="1" xfId="0" applyFont="1" applyFill="1" applyBorder="1" applyAlignment="1">
      <alignment vertical="center"/>
    </xf>
    <xf numFmtId="0" fontId="69" fillId="7" borderId="13" xfId="0" applyFont="1" applyFill="1" applyBorder="1" applyAlignment="1">
      <alignment horizontal="left" vertical="center" wrapText="1" indent="2"/>
    </xf>
    <xf numFmtId="4" fontId="69" fillId="7" borderId="13" xfId="0" applyNumberFormat="1" applyFont="1" applyFill="1" applyBorder="1" applyAlignment="1">
      <alignment horizontal="right" vertical="center" wrapText="1"/>
    </xf>
    <xf numFmtId="4" fontId="69" fillId="7" borderId="15" xfId="0" applyNumberFormat="1" applyFont="1" applyFill="1" applyBorder="1" applyAlignment="1">
      <alignment vertical="center" wrapText="1"/>
    </xf>
    <xf numFmtId="4" fontId="69" fillId="7" borderId="62" xfId="0" applyNumberFormat="1" applyFont="1" applyFill="1" applyBorder="1" applyAlignment="1">
      <alignment vertical="center" wrapText="1"/>
    </xf>
    <xf numFmtId="4" fontId="69" fillId="7" borderId="13" xfId="0" applyNumberFormat="1" applyFont="1" applyFill="1" applyBorder="1" applyAlignment="1">
      <alignment vertical="center" wrapText="1"/>
    </xf>
    <xf numFmtId="4" fontId="69" fillId="7" borderId="1" xfId="0" applyNumberFormat="1" applyFont="1" applyFill="1" applyBorder="1" applyAlignment="1">
      <alignment vertical="center" wrapText="1"/>
    </xf>
    <xf numFmtId="0" fontId="69" fillId="8" borderId="1" xfId="0" applyFont="1" applyFill="1" applyBorder="1" applyAlignment="1">
      <alignment vertical="center"/>
    </xf>
    <xf numFmtId="0" fontId="55" fillId="8" borderId="13" xfId="0" applyFont="1" applyFill="1" applyBorder="1" applyAlignment="1">
      <alignment vertical="center" wrapText="1"/>
    </xf>
    <xf numFmtId="4" fontId="69" fillId="8" borderId="13" xfId="0" applyNumberFormat="1" applyFont="1" applyFill="1" applyBorder="1" applyAlignment="1">
      <alignment vertical="center" wrapText="1"/>
    </xf>
    <xf numFmtId="4" fontId="69" fillId="8" borderId="15" xfId="0" applyNumberFormat="1" applyFont="1" applyFill="1" applyBorder="1" applyAlignment="1">
      <alignment vertical="center" wrapText="1"/>
    </xf>
    <xf numFmtId="4" fontId="69" fillId="8" borderId="62" xfId="0" applyNumberFormat="1" applyFont="1" applyFill="1" applyBorder="1" applyAlignment="1">
      <alignment vertical="center" wrapText="1"/>
    </xf>
    <xf numFmtId="4" fontId="69" fillId="8" borderId="1" xfId="0" applyNumberFormat="1" applyFont="1" applyFill="1" applyBorder="1" applyAlignment="1">
      <alignment vertical="center" wrapText="1"/>
    </xf>
    <xf numFmtId="4" fontId="69" fillId="0" borderId="13" xfId="0" applyNumberFormat="1" applyFont="1" applyFill="1" applyBorder="1" applyAlignment="1">
      <alignment vertical="center" wrapText="1"/>
    </xf>
    <xf numFmtId="4" fontId="69" fillId="0" borderId="15" xfId="0" applyNumberFormat="1" applyFont="1" applyFill="1" applyBorder="1" applyAlignment="1">
      <alignment vertical="center" wrapText="1"/>
    </xf>
    <xf numFmtId="4" fontId="69" fillId="52" borderId="15" xfId="0" applyNumberFormat="1" applyFont="1" applyFill="1" applyBorder="1" applyAlignment="1">
      <alignment vertical="center" wrapText="1"/>
    </xf>
    <xf numFmtId="4" fontId="69" fillId="0" borderId="68" xfId="0" applyNumberFormat="1" applyFont="1" applyFill="1" applyBorder="1" applyAlignment="1">
      <alignment vertical="center" wrapText="1"/>
    </xf>
    <xf numFmtId="0" fontId="69" fillId="9" borderId="1" xfId="0" applyFont="1" applyFill="1" applyBorder="1" applyAlignment="1">
      <alignment vertical="center"/>
    </xf>
    <xf numFmtId="0" fontId="55" fillId="9" borderId="13" xfId="0" applyFont="1" applyFill="1" applyBorder="1" applyAlignment="1">
      <alignment vertical="center" wrapText="1"/>
    </xf>
    <xf numFmtId="4" fontId="69" fillId="9" borderId="12" xfId="0" applyNumberFormat="1" applyFont="1" applyFill="1" applyBorder="1" applyAlignment="1">
      <alignment vertical="center" wrapText="1"/>
    </xf>
    <xf numFmtId="4" fontId="69" fillId="9" borderId="7" xfId="0" applyNumberFormat="1" applyFont="1" applyFill="1" applyBorder="1" applyAlignment="1">
      <alignment vertical="center" wrapText="1"/>
    </xf>
    <xf numFmtId="4" fontId="69" fillId="9" borderId="72" xfId="0" applyNumberFormat="1" applyFont="1" applyFill="1" applyBorder="1" applyAlignment="1">
      <alignment vertical="center" wrapText="1"/>
    </xf>
    <xf numFmtId="4" fontId="69" fillId="9" borderId="8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0" fontId="69" fillId="12" borderId="1" xfId="0" applyFont="1" applyFill="1" applyBorder="1" applyAlignment="1">
      <alignment vertical="center"/>
    </xf>
    <xf numFmtId="0" fontId="55" fillId="12" borderId="13" xfId="0" applyFont="1" applyFill="1" applyBorder="1" applyAlignment="1">
      <alignment vertical="center" wrapText="1"/>
    </xf>
    <xf numFmtId="4" fontId="69" fillId="12" borderId="1" xfId="0" applyNumberFormat="1" applyFont="1" applyFill="1" applyBorder="1" applyAlignment="1">
      <alignment vertical="center" wrapText="1"/>
    </xf>
    <xf numFmtId="4" fontId="69" fillId="12" borderId="15" xfId="0" applyNumberFormat="1" applyFont="1" applyFill="1" applyBorder="1" applyAlignment="1">
      <alignment vertical="center" wrapText="1"/>
    </xf>
    <xf numFmtId="4" fontId="69" fillId="12" borderId="61" xfId="0" applyNumberFormat="1" applyFont="1" applyFill="1" applyBorder="1" applyAlignment="1">
      <alignment vertical="center" wrapText="1"/>
    </xf>
    <xf numFmtId="4" fontId="69" fillId="12" borderId="13" xfId="0" applyNumberFormat="1" applyFont="1" applyFill="1" applyBorder="1" applyAlignment="1">
      <alignment vertical="center" wrapText="1"/>
    </xf>
    <xf numFmtId="4" fontId="69" fillId="52" borderId="13" xfId="0" applyNumberFormat="1" applyFont="1" applyFill="1" applyBorder="1" applyAlignment="1">
      <alignment vertical="center" wrapText="1"/>
    </xf>
    <xf numFmtId="4" fontId="69" fillId="0" borderId="174" xfId="0" applyNumberFormat="1" applyFont="1" applyFill="1" applyBorder="1" applyAlignment="1">
      <alignment vertical="center" wrapText="1"/>
    </xf>
    <xf numFmtId="4" fontId="69" fillId="0" borderId="4" xfId="0" applyNumberFormat="1" applyFont="1" applyFill="1" applyBorder="1" applyAlignment="1">
      <alignment vertical="center" wrapText="1"/>
    </xf>
    <xf numFmtId="4" fontId="69" fillId="0" borderId="6" xfId="0" applyNumberFormat="1" applyFont="1" applyFill="1" applyBorder="1" applyAlignment="1">
      <alignment vertical="center" wrapText="1"/>
    </xf>
    <xf numFmtId="4" fontId="69" fillId="0" borderId="3" xfId="0" applyNumberFormat="1" applyFont="1" applyFill="1" applyBorder="1" applyAlignment="1">
      <alignment vertical="center" wrapText="1"/>
    </xf>
    <xf numFmtId="0" fontId="69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 wrapText="1"/>
    </xf>
    <xf numFmtId="4" fontId="69" fillId="0" borderId="14" xfId="0" applyNumberFormat="1" applyFont="1" applyBorder="1" applyAlignment="1">
      <alignment vertical="center" wrapText="1"/>
    </xf>
    <xf numFmtId="4" fontId="69" fillId="0" borderId="0" xfId="0" applyNumberFormat="1" applyFont="1" applyBorder="1" applyAlignment="1">
      <alignment vertical="center" wrapText="1"/>
    </xf>
    <xf numFmtId="0" fontId="69" fillId="13" borderId="1" xfId="0" applyFont="1" applyFill="1" applyBorder="1" applyAlignment="1">
      <alignment vertical="center"/>
    </xf>
    <xf numFmtId="0" fontId="55" fillId="13" borderId="13" xfId="0" applyFont="1" applyFill="1" applyBorder="1" applyAlignment="1">
      <alignment vertical="center" wrapText="1"/>
    </xf>
    <xf numFmtId="4" fontId="55" fillId="13" borderId="11" xfId="0" applyNumberFormat="1" applyFont="1" applyFill="1" applyBorder="1" applyAlignment="1">
      <alignment vertical="center" wrapText="1"/>
    </xf>
    <xf numFmtId="4" fontId="69" fillId="13" borderId="11" xfId="0" applyNumberFormat="1" applyFont="1" applyFill="1" applyBorder="1" applyAlignment="1">
      <alignment vertical="center" wrapText="1"/>
    </xf>
    <xf numFmtId="4" fontId="69" fillId="13" borderId="9" xfId="0" applyNumberFormat="1" applyFont="1" applyFill="1" applyBorder="1" applyAlignment="1">
      <alignment vertical="center" wrapText="1"/>
    </xf>
    <xf numFmtId="4" fontId="69" fillId="13" borderId="61" xfId="0" applyNumberFormat="1" applyFont="1" applyFill="1" applyBorder="1" applyAlignment="1">
      <alignment vertical="center" wrapText="1"/>
    </xf>
    <xf numFmtId="4" fontId="69" fillId="13" borderId="2" xfId="0" applyNumberFormat="1" applyFont="1" applyFill="1" applyBorder="1" applyAlignment="1">
      <alignment vertical="center" wrapText="1"/>
    </xf>
    <xf numFmtId="4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14" borderId="1" xfId="0" applyFont="1" applyFill="1" applyBorder="1" applyAlignment="1">
      <alignment vertical="center"/>
    </xf>
    <xf numFmtId="0" fontId="55" fillId="14" borderId="13" xfId="0" applyFont="1" applyFill="1" applyBorder="1" applyAlignment="1">
      <alignment vertical="center" wrapText="1"/>
    </xf>
    <xf numFmtId="4" fontId="69" fillId="14" borderId="12" xfId="0" applyNumberFormat="1" applyFont="1" applyFill="1" applyBorder="1" applyAlignment="1">
      <alignment vertical="center" wrapText="1"/>
    </xf>
    <xf numFmtId="4" fontId="69" fillId="14" borderId="7" xfId="0" applyNumberFormat="1" applyFont="1" applyFill="1" applyBorder="1" applyAlignment="1">
      <alignment vertical="center" wrapText="1"/>
    </xf>
    <xf numFmtId="4" fontId="69" fillId="14" borderId="72" xfId="0" applyNumberFormat="1" applyFont="1" applyFill="1" applyBorder="1" applyAlignment="1">
      <alignment vertical="center" wrapText="1"/>
    </xf>
    <xf numFmtId="4" fontId="69" fillId="14" borderId="8" xfId="0" applyNumberFormat="1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4" fontId="55" fillId="0" borderId="14" xfId="0" applyNumberFormat="1" applyFont="1" applyBorder="1" applyAlignment="1">
      <alignment vertical="center" wrapText="1"/>
    </xf>
    <xf numFmtId="4" fontId="69" fillId="0" borderId="2" xfId="0" applyNumberFormat="1" applyFont="1" applyFill="1" applyBorder="1" applyAlignment="1">
      <alignment vertical="center" wrapText="1"/>
    </xf>
    <xf numFmtId="4" fontId="69" fillId="0" borderId="9" xfId="0" applyNumberFormat="1" applyFont="1" applyFill="1" applyBorder="1" applyAlignment="1">
      <alignment vertical="center" wrapText="1"/>
    </xf>
    <xf numFmtId="4" fontId="69" fillId="0" borderId="61" xfId="0" applyNumberFormat="1" applyFont="1" applyFill="1" applyBorder="1" applyAlignment="1">
      <alignment vertical="center" wrapText="1"/>
    </xf>
    <xf numFmtId="4" fontId="69" fillId="0" borderId="11" xfId="0" applyNumberFormat="1" applyFont="1" applyFill="1" applyBorder="1" applyAlignment="1">
      <alignment vertical="center" wrapText="1"/>
    </xf>
    <xf numFmtId="4" fontId="69" fillId="0" borderId="73" xfId="0" applyNumberFormat="1" applyFont="1" applyFill="1" applyBorder="1" applyAlignment="1">
      <alignment vertical="center" wrapText="1"/>
    </xf>
    <xf numFmtId="4" fontId="69" fillId="0" borderId="62" xfId="0" applyNumberFormat="1" applyFont="1" applyBorder="1" applyAlignment="1">
      <alignment vertical="center" wrapText="1"/>
    </xf>
    <xf numFmtId="0" fontId="69" fillId="17" borderId="1" xfId="0" applyFont="1" applyFill="1" applyBorder="1" applyAlignment="1">
      <alignment vertical="center"/>
    </xf>
    <xf numFmtId="0" fontId="55" fillId="17" borderId="13" xfId="0" applyFont="1" applyFill="1" applyBorder="1" applyAlignment="1">
      <alignment vertical="center" wrapText="1"/>
    </xf>
    <xf numFmtId="4" fontId="69" fillId="17" borderId="1" xfId="0" applyNumberFormat="1" applyFont="1" applyFill="1" applyBorder="1" applyAlignment="1">
      <alignment vertical="center" wrapText="1"/>
    </xf>
    <xf numFmtId="4" fontId="69" fillId="17" borderId="15" xfId="0" applyNumberFormat="1" applyFont="1" applyFill="1" applyBorder="1" applyAlignment="1">
      <alignment vertical="center" wrapText="1"/>
    </xf>
    <xf numFmtId="4" fontId="69" fillId="17" borderId="68" xfId="0" applyNumberFormat="1" applyFont="1" applyFill="1" applyBorder="1" applyAlignment="1">
      <alignment vertical="center" wrapText="1"/>
    </xf>
    <xf numFmtId="4" fontId="69" fillId="17" borderId="13" xfId="0" applyNumberFormat="1" applyFont="1" applyFill="1" applyBorder="1" applyAlignment="1">
      <alignment vertical="center" wrapText="1"/>
    </xf>
    <xf numFmtId="0" fontId="69" fillId="15" borderId="1" xfId="0" applyFont="1" applyFill="1" applyBorder="1" applyAlignment="1">
      <alignment vertical="center"/>
    </xf>
    <xf numFmtId="0" fontId="55" fillId="15" borderId="13" xfId="0" applyFont="1" applyFill="1" applyBorder="1" applyAlignment="1">
      <alignment vertical="center" wrapText="1"/>
    </xf>
    <xf numFmtId="4" fontId="69" fillId="15" borderId="13" xfId="0" applyNumberFormat="1" applyFont="1" applyFill="1" applyBorder="1" applyAlignment="1">
      <alignment vertical="center" wrapText="1"/>
    </xf>
    <xf numFmtId="4" fontId="69" fillId="15" borderId="15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4" fontId="69" fillId="0" borderId="74" xfId="0" applyNumberFormat="1" applyFont="1" applyFill="1" applyBorder="1" applyAlignment="1">
      <alignment vertical="center" wrapText="1"/>
    </xf>
    <xf numFmtId="0" fontId="69" fillId="0" borderId="6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69" fillId="0" borderId="75" xfId="0" applyNumberFormat="1" applyFont="1" applyFill="1" applyBorder="1" applyAlignment="1">
      <alignment vertical="center" wrapText="1"/>
    </xf>
    <xf numFmtId="0" fontId="69" fillId="0" borderId="76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69" fillId="0" borderId="2" xfId="0" applyFont="1" applyFill="1" applyBorder="1" applyAlignment="1">
      <alignment vertical="center" wrapText="1"/>
    </xf>
    <xf numFmtId="0" fontId="69" fillId="0" borderId="62" xfId="0" applyFont="1" applyFill="1" applyBorder="1" applyAlignment="1">
      <alignment vertical="center" wrapText="1"/>
    </xf>
    <xf numFmtId="0" fontId="69" fillId="0" borderId="68" xfId="0" applyFont="1" applyFill="1" applyBorder="1" applyAlignment="1">
      <alignment vertical="center" wrapText="1"/>
    </xf>
    <xf numFmtId="4" fontId="69" fillId="0" borderId="5" xfId="0" applyNumberFormat="1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66" borderId="1" xfId="0" applyFont="1" applyFill="1" applyBorder="1" applyAlignment="1">
      <alignment vertical="center"/>
    </xf>
    <xf numFmtId="0" fontId="72" fillId="66" borderId="14" xfId="0" applyFont="1" applyFill="1" applyBorder="1" applyAlignment="1">
      <alignment vertical="center"/>
    </xf>
    <xf numFmtId="0" fontId="72" fillId="66" borderId="0" xfId="0" applyFont="1" applyFill="1" applyBorder="1" applyAlignment="1">
      <alignment vertical="center"/>
    </xf>
    <xf numFmtId="4" fontId="71" fillId="66" borderId="0" xfId="0" applyNumberFormat="1" applyFont="1" applyFill="1" applyAlignment="1">
      <alignment vertical="center"/>
    </xf>
    <xf numFmtId="0" fontId="71" fillId="66" borderId="0" xfId="0" applyFont="1" applyFill="1" applyAlignment="1">
      <alignment vertical="center"/>
    </xf>
    <xf numFmtId="0" fontId="72" fillId="66" borderId="13" xfId="0" applyFont="1" applyFill="1" applyBorder="1" applyAlignment="1">
      <alignment vertical="center" wrapText="1"/>
    </xf>
    <xf numFmtId="4" fontId="71" fillId="66" borderId="1" xfId="0" applyNumberFormat="1" applyFont="1" applyFill="1" applyBorder="1" applyAlignment="1">
      <alignment vertical="center" wrapText="1"/>
    </xf>
    <xf numFmtId="0" fontId="69" fillId="0" borderId="4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70" fillId="18" borderId="7" xfId="0" applyFont="1" applyFill="1" applyBorder="1" applyAlignment="1">
      <alignment vertical="center"/>
    </xf>
    <xf numFmtId="0" fontId="73" fillId="18" borderId="0" xfId="0" applyFont="1" applyFill="1" applyBorder="1" applyAlignment="1">
      <alignment vertical="center"/>
    </xf>
    <xf numFmtId="0" fontId="69" fillId="0" borderId="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19" borderId="0" xfId="0" applyFont="1" applyFill="1" applyBorder="1" applyAlignment="1">
      <alignment vertical="center"/>
    </xf>
    <xf numFmtId="0" fontId="69" fillId="0" borderId="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61" xfId="0" applyNumberFormat="1" applyFont="1" applyBorder="1" applyAlignment="1" applyProtection="1">
      <alignment horizontal="center" vertical="center" wrapText="1"/>
      <protection hidden="1"/>
    </xf>
    <xf numFmtId="0" fontId="69" fillId="0" borderId="13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 applyProtection="1">
      <alignment horizontal="center" vertical="center" wrapText="1"/>
      <protection hidden="1"/>
    </xf>
    <xf numFmtId="4" fontId="69" fillId="0" borderId="1" xfId="0" applyNumberFormat="1" applyFont="1" applyBorder="1" applyAlignment="1" applyProtection="1">
      <alignment horizontal="center" vertical="center" wrapText="1"/>
      <protection hidden="1"/>
    </xf>
    <xf numFmtId="0" fontId="69" fillId="0" borderId="9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62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>
      <alignment horizontal="center" vertical="center" wrapText="1"/>
    </xf>
    <xf numFmtId="0" fontId="69" fillId="0" borderId="8" xfId="0" applyFont="1" applyBorder="1" applyAlignment="1">
      <alignment vertical="center" wrapText="1"/>
    </xf>
    <xf numFmtId="0" fontId="69" fillId="0" borderId="68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4" fontId="69" fillId="19" borderId="0" xfId="0" applyNumberFormat="1" applyFont="1" applyFill="1" applyAlignment="1">
      <alignment vertical="center"/>
    </xf>
    <xf numFmtId="0" fontId="69" fillId="19" borderId="0" xfId="0" applyFont="1" applyFill="1" applyAlignment="1" applyProtection="1">
      <alignment vertical="center"/>
      <protection hidden="1"/>
    </xf>
    <xf numFmtId="0" fontId="55" fillId="0" borderId="10" xfId="0" applyFont="1" applyBorder="1" applyAlignment="1">
      <alignment vertical="center" wrapText="1"/>
    </xf>
    <xf numFmtId="4" fontId="69" fillId="0" borderId="10" xfId="0" applyNumberFormat="1" applyFont="1" applyBorder="1" applyAlignment="1">
      <alignment vertical="center" wrapText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65" fontId="69" fillId="0" borderId="2" xfId="0" applyNumberFormat="1" applyFont="1" applyBorder="1" applyAlignment="1">
      <alignment horizontal="center" vertical="center" wrapText="1"/>
    </xf>
    <xf numFmtId="165" fontId="69" fillId="0" borderId="9" xfId="0" applyNumberFormat="1" applyFont="1" applyBorder="1" applyAlignment="1">
      <alignment horizontal="center" vertical="center" wrapText="1"/>
    </xf>
    <xf numFmtId="165" fontId="69" fillId="0" borderId="61" xfId="0" applyNumberFormat="1" applyFont="1" applyBorder="1" applyAlignment="1" applyProtection="1">
      <alignment horizontal="center" vertical="center" wrapText="1"/>
      <protection hidden="1"/>
    </xf>
    <xf numFmtId="165" fontId="69" fillId="0" borderId="10" xfId="0" applyNumberFormat="1" applyFont="1" applyBorder="1" applyAlignment="1" applyProtection="1">
      <alignment horizontal="center" vertical="center" wrapText="1"/>
      <protection hidden="1"/>
    </xf>
    <xf numFmtId="165" fontId="69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168" fontId="69" fillId="0" borderId="1" xfId="0" applyNumberFormat="1" applyFont="1" applyBorder="1" applyAlignment="1">
      <alignment horizontal="center" vertical="center" wrapText="1"/>
    </xf>
    <xf numFmtId="168" fontId="69" fillId="0" borderId="15" xfId="0" applyNumberFormat="1" applyFont="1" applyBorder="1" applyAlignment="1">
      <alignment horizontal="center" vertical="center" wrapText="1"/>
    </xf>
    <xf numFmtId="168" fontId="69" fillId="0" borderId="62" xfId="0" applyNumberFormat="1" applyFont="1" applyBorder="1" applyAlignment="1" applyProtection="1">
      <alignment horizontal="center" vertical="center" wrapText="1"/>
      <protection hidden="1"/>
    </xf>
    <xf numFmtId="168" fontId="69" fillId="0" borderId="14" xfId="0" applyNumberFormat="1" applyFont="1" applyBorder="1" applyAlignment="1" applyProtection="1">
      <alignment horizontal="center" vertical="center" wrapText="1"/>
      <protection hidden="1"/>
    </xf>
    <xf numFmtId="168" fontId="69" fillId="0" borderId="79" xfId="0" applyNumberFormat="1" applyFont="1" applyFill="1" applyBorder="1" applyAlignment="1" applyProtection="1">
      <alignment horizontal="center" vertical="center" wrapText="1"/>
      <protection hidden="1"/>
    </xf>
    <xf numFmtId="168" fontId="6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6" xfId="0" applyFont="1" applyBorder="1" applyAlignment="1">
      <alignment horizontal="center" vertical="center" wrapText="1"/>
    </xf>
    <xf numFmtId="0" fontId="69" fillId="0" borderId="169" xfId="0" applyFont="1" applyBorder="1" applyAlignment="1">
      <alignment horizontal="center" vertical="center" wrapText="1"/>
    </xf>
    <xf numFmtId="165" fontId="69" fillId="0" borderId="1" xfId="0" applyNumberFormat="1" applyFont="1" applyBorder="1" applyAlignment="1">
      <alignment horizontal="center" vertical="center" wrapText="1"/>
    </xf>
    <xf numFmtId="165" fontId="69" fillId="0" borderId="15" xfId="0" applyNumberFormat="1" applyFont="1" applyBorder="1" applyAlignment="1">
      <alignment horizontal="center" vertical="center" wrapText="1"/>
    </xf>
    <xf numFmtId="165" fontId="69" fillId="0" borderId="68" xfId="0" applyNumberFormat="1" applyFont="1" applyBorder="1" applyAlignment="1" applyProtection="1">
      <alignment horizontal="center" vertical="center" wrapText="1"/>
      <protection hidden="1"/>
    </xf>
    <xf numFmtId="165" fontId="69" fillId="0" borderId="14" xfId="0" applyNumberFormat="1" applyFont="1" applyBorder="1" applyAlignment="1" applyProtection="1">
      <alignment horizontal="center" vertical="center" wrapText="1"/>
      <protection hidden="1"/>
    </xf>
    <xf numFmtId="165" fontId="69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73" fillId="18" borderId="8" xfId="0" applyFont="1" applyFill="1" applyBorder="1" applyAlignment="1">
      <alignment vertical="center"/>
    </xf>
    <xf numFmtId="0" fontId="55" fillId="0" borderId="8" xfId="0" applyFont="1" applyBorder="1" applyAlignment="1">
      <alignment vertical="center"/>
    </xf>
    <xf numFmtId="0" fontId="55" fillId="19" borderId="8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39" fontId="11" fillId="0" borderId="118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22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2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1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4" fontId="59" fillId="0" borderId="1" xfId="0" applyNumberFormat="1" applyFont="1" applyBorder="1" applyAlignment="1" applyProtection="1">
      <alignment horizontal="center" vertical="center" wrapText="1"/>
      <protection hidden="1"/>
    </xf>
    <xf numFmtId="0" fontId="60" fillId="0" borderId="4" xfId="0" applyFont="1" applyBorder="1" applyAlignment="1" applyProtection="1">
      <alignment horizontal="center" vertical="center" wrapText="1"/>
      <protection hidden="1"/>
    </xf>
    <xf numFmtId="0" fontId="60" fillId="0" borderId="5" xfId="0" applyFont="1" applyBorder="1" applyAlignment="1" applyProtection="1">
      <alignment horizontal="center" vertical="center" wrapText="1"/>
      <protection hidden="1"/>
    </xf>
    <xf numFmtId="0" fontId="60" fillId="0" borderId="6" xfId="0" applyFont="1" applyBorder="1" applyAlignment="1" applyProtection="1">
      <alignment horizontal="center" vertical="center" wrapText="1"/>
      <protection hidden="1"/>
    </xf>
    <xf numFmtId="0" fontId="60" fillId="0" borderId="7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8" xfId="0" applyFont="1" applyBorder="1" applyAlignment="1" applyProtection="1">
      <alignment horizontal="center" vertical="center" wrapText="1"/>
      <protection hidden="1"/>
    </xf>
    <xf numFmtId="0" fontId="60" fillId="0" borderId="9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horizontal="left" wrapText="1"/>
    </xf>
    <xf numFmtId="4" fontId="55" fillId="0" borderId="1" xfId="0" applyNumberFormat="1" applyFont="1" applyBorder="1" applyAlignment="1" applyProtection="1">
      <alignment horizontal="center" vertical="center" wrapText="1"/>
      <protection hidden="1"/>
    </xf>
    <xf numFmtId="0" fontId="66" fillId="21" borderId="15" xfId="0" applyFont="1" applyFill="1" applyBorder="1" applyAlignment="1" applyProtection="1">
      <alignment vertical="center" wrapText="1"/>
      <protection hidden="1"/>
    </xf>
    <xf numFmtId="0" fontId="2" fillId="0" borderId="14" xfId="0" applyFont="1" applyBorder="1" applyAlignment="1">
      <alignment vertical="center"/>
    </xf>
    <xf numFmtId="0" fontId="2" fillId="0" borderId="182" xfId="0" applyFont="1" applyBorder="1" applyAlignment="1">
      <alignment vertical="center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66" fillId="27" borderId="58" xfId="0" applyFont="1" applyFill="1" applyBorder="1" applyAlignment="1" applyProtection="1">
      <alignment horizontal="center" vertical="center" wrapText="1"/>
      <protection hidden="1"/>
    </xf>
    <xf numFmtId="0" fontId="66" fillId="27" borderId="60" xfId="0" applyFont="1" applyFill="1" applyBorder="1" applyAlignment="1" applyProtection="1">
      <alignment horizontal="center" vertical="center" wrapText="1"/>
      <protection hidden="1"/>
    </xf>
    <xf numFmtId="0" fontId="66" fillId="27" borderId="59" xfId="0" applyFont="1" applyFill="1" applyBorder="1" applyAlignment="1" applyProtection="1">
      <alignment horizontal="center" vertical="center" wrapText="1"/>
      <protection hidden="1"/>
    </xf>
    <xf numFmtId="0" fontId="66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166" fontId="17" fillId="27" borderId="170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7" fillId="53" borderId="3" xfId="2" applyFont="1" applyFill="1" applyBorder="1" applyAlignment="1">
      <alignment horizontal="center" vertical="center"/>
    </xf>
    <xf numFmtId="0" fontId="7" fillId="53" borderId="2" xfId="2" applyFont="1" applyFill="1" applyBorder="1" applyAlignment="1">
      <alignment horizontal="center" vertical="center"/>
    </xf>
    <xf numFmtId="0" fontId="7" fillId="53" borderId="4" xfId="2" applyFont="1" applyFill="1" applyBorder="1" applyAlignment="1">
      <alignment horizontal="center" vertical="center"/>
    </xf>
    <xf numFmtId="0" fontId="7" fillId="53" borderId="6" xfId="2" applyFont="1" applyFill="1" applyBorder="1" applyAlignment="1">
      <alignment horizontal="center" vertical="center"/>
    </xf>
    <xf numFmtId="0" fontId="7" fillId="53" borderId="9" xfId="2" applyFont="1" applyFill="1" applyBorder="1" applyAlignment="1">
      <alignment horizontal="center" vertical="center"/>
    </xf>
    <xf numFmtId="0" fontId="7" fillId="53" borderId="11" xfId="2" applyFont="1" applyFill="1" applyBorder="1" applyAlignment="1">
      <alignment horizontal="center" vertical="center"/>
    </xf>
    <xf numFmtId="0" fontId="7" fillId="53" borderId="15" xfId="2" applyFont="1" applyFill="1" applyBorder="1" applyAlignment="1">
      <alignment horizontal="center" vertical="center"/>
    </xf>
    <xf numFmtId="0" fontId="7" fillId="53" borderId="13" xfId="2" applyFont="1" applyFill="1" applyBorder="1" applyAlignment="1">
      <alignment horizontal="center" vertical="center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4" borderId="155" xfId="2" applyFont="1" applyFill="1" applyBorder="1" applyAlignment="1">
      <alignment horizontal="left" vertical="center" wrapText="1"/>
    </xf>
    <xf numFmtId="0" fontId="1" fillId="54" borderId="156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50" fillId="0" borderId="168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6" borderId="161" xfId="2" applyFont="1" applyFill="1" applyBorder="1" applyAlignment="1">
      <alignment horizontal="left" vertical="center"/>
    </xf>
    <xf numFmtId="0" fontId="1" fillId="56" borderId="162" xfId="2" applyFont="1" applyFill="1" applyBorder="1" applyAlignment="1">
      <alignment horizontal="left" vertical="center"/>
    </xf>
    <xf numFmtId="0" fontId="1" fillId="57" borderId="165" xfId="2" applyFont="1" applyFill="1" applyBorder="1" applyAlignment="1">
      <alignment horizontal="left" vertical="center"/>
    </xf>
    <xf numFmtId="0" fontId="1" fillId="57" borderId="166" xfId="2" applyFont="1" applyFill="1" applyBorder="1" applyAlignment="1">
      <alignment horizontal="left" vertical="center"/>
    </xf>
    <xf numFmtId="0" fontId="2" fillId="58" borderId="0" xfId="2" applyFont="1" applyFill="1" applyBorder="1" applyAlignment="1">
      <alignment horizontal="left" vertical="center" wrapText="1"/>
    </xf>
    <xf numFmtId="14" fontId="37" fillId="0" borderId="167" xfId="2" applyNumberFormat="1" applyFont="1" applyBorder="1" applyAlignment="1">
      <alignment horizontal="center"/>
    </xf>
    <xf numFmtId="0" fontId="37" fillId="0" borderId="167" xfId="2" applyFont="1" applyBorder="1" applyAlignment="1">
      <alignment horizontal="center"/>
    </xf>
    <xf numFmtId="0" fontId="1" fillId="55" borderId="159" xfId="2" applyFont="1" applyFill="1" applyBorder="1" applyAlignment="1">
      <alignment horizontal="left" vertical="center" wrapText="1"/>
    </xf>
    <xf numFmtId="0" fontId="1" fillId="55" borderId="156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43" fontId="26" fillId="0" borderId="106" xfId="1" applyNumberFormat="1" applyFont="1" applyFill="1" applyBorder="1" applyAlignment="1"/>
    <xf numFmtId="43" fontId="0" fillId="0" borderId="106" xfId="0" applyNumberFormat="1" applyBorder="1" applyAlignment="1"/>
    <xf numFmtId="3" fontId="32" fillId="46" borderId="115" xfId="0" applyNumberFormat="1" applyFont="1" applyFill="1" applyBorder="1" applyAlignment="1"/>
    <xf numFmtId="0" fontId="33" fillId="46" borderId="13" xfId="0" applyFont="1" applyFill="1" applyBorder="1"/>
    <xf numFmtId="0" fontId="26" fillId="46" borderId="112" xfId="0" applyFont="1" applyFill="1" applyBorder="1" applyAlignment="1"/>
    <xf numFmtId="0" fontId="26" fillId="46" borderId="109" xfId="0" applyFont="1" applyFill="1" applyBorder="1" applyAlignment="1"/>
    <xf numFmtId="3" fontId="31" fillId="46" borderId="104" xfId="0" applyNumberFormat="1" applyFont="1" applyFill="1" applyBorder="1" applyAlignment="1"/>
    <xf numFmtId="0" fontId="0" fillId="0" borderId="104" xfId="0" applyBorder="1" applyAlignment="1"/>
    <xf numFmtId="43" fontId="26" fillId="0" borderId="86" xfId="1" applyNumberFormat="1" applyFont="1" applyFill="1" applyBorder="1" applyAlignment="1"/>
    <xf numFmtId="43" fontId="0" fillId="0" borderId="114" xfId="0" applyNumberFormat="1" applyBorder="1" applyAlignment="1"/>
    <xf numFmtId="43" fontId="0" fillId="0" borderId="86" xfId="0" applyNumberFormat="1" applyBorder="1" applyAlignment="1"/>
    <xf numFmtId="3" fontId="31" fillId="46" borderId="109" xfId="0" applyNumberFormat="1" applyFont="1" applyFill="1" applyBorder="1" applyAlignment="1"/>
    <xf numFmtId="3" fontId="31" fillId="46" borderId="112" xfId="0" applyNumberFormat="1" applyFont="1" applyFill="1" applyBorder="1" applyAlignment="1"/>
    <xf numFmtId="3" fontId="31" fillId="46" borderId="110" xfId="0" applyNumberFormat="1" applyFont="1" applyFill="1" applyBorder="1" applyAlignment="1"/>
    <xf numFmtId="43" fontId="28" fillId="0" borderId="117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3" fontId="32" fillId="46" borderId="97" xfId="0" applyNumberFormat="1" applyFont="1" applyFill="1" applyBorder="1" applyAlignment="1"/>
    <xf numFmtId="3" fontId="32" fillId="46" borderId="104" xfId="0" applyNumberFormat="1" applyFont="1" applyFill="1" applyBorder="1" applyAlignment="1"/>
    <xf numFmtId="4" fontId="26" fillId="0" borderId="2" xfId="1" applyNumberFormat="1" applyFont="1" applyFill="1" applyBorder="1" applyAlignment="1"/>
    <xf numFmtId="4" fontId="26" fillId="0" borderId="9" xfId="1" applyNumberFormat="1" applyFont="1" applyFill="1" applyBorder="1" applyAlignment="1"/>
    <xf numFmtId="4" fontId="26" fillId="0" borderId="11" xfId="1" applyNumberFormat="1" applyFont="1" applyFill="1" applyBorder="1" applyAlignment="1"/>
    <xf numFmtId="4" fontId="26" fillId="0" borderId="101" xfId="1" applyNumberFormat="1" applyFont="1" applyFill="1" applyBorder="1" applyAlignment="1"/>
    <xf numFmtId="3" fontId="26" fillId="0" borderId="102" xfId="1" applyNumberFormat="1" applyFont="1" applyFill="1" applyBorder="1" applyAlignment="1"/>
    <xf numFmtId="3" fontId="26" fillId="0" borderId="1" xfId="1" applyNumberFormat="1" applyFont="1" applyFill="1" applyBorder="1" applyAlignment="1"/>
    <xf numFmtId="4" fontId="26" fillId="0" borderId="1" xfId="1" applyNumberFormat="1" applyFont="1" applyFill="1" applyBorder="1" applyAlignment="1"/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7" fillId="0" borderId="97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4" fontId="26" fillId="0" borderId="103" xfId="1" applyNumberFormat="1" applyFont="1" applyFill="1" applyBorder="1" applyAlignment="1"/>
    <xf numFmtId="0" fontId="27" fillId="0" borderId="104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91" xfId="0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43" fontId="28" fillId="0" borderId="4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3" fontId="32" fillId="46" borderId="38" xfId="0" applyNumberFormat="1" applyFont="1" applyFill="1" applyBorder="1" applyAlignment="1" applyProtection="1">
      <protection hidden="1"/>
    </xf>
    <xf numFmtId="0" fontId="33" fillId="46" borderId="14" xfId="0" applyFont="1" applyFill="1" applyBorder="1" applyProtection="1">
      <protection hidden="1"/>
    </xf>
    <xf numFmtId="0" fontId="26" fillId="46" borderId="91" xfId="0" applyFont="1" applyFill="1" applyBorder="1" applyAlignment="1" applyProtection="1">
      <protection hidden="1"/>
    </xf>
    <xf numFmtId="0" fontId="28" fillId="46" borderId="95" xfId="0" applyFont="1" applyFill="1" applyBorder="1" applyAlignment="1" applyProtection="1">
      <protection hidden="1"/>
    </xf>
    <xf numFmtId="3" fontId="31" fillId="51" borderId="29" xfId="0" applyNumberFormat="1" applyFont="1" applyFill="1" applyBorder="1" applyAlignment="1" applyProtection="1">
      <alignment vertical="center"/>
      <protection hidden="1"/>
    </xf>
    <xf numFmtId="0" fontId="0" fillId="51" borderId="140" xfId="0" applyFill="1" applyBorder="1" applyAlignment="1" applyProtection="1">
      <alignment vertical="center"/>
      <protection hidden="1"/>
    </xf>
    <xf numFmtId="0" fontId="28" fillId="0" borderId="115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7" xfId="0" applyFont="1" applyBorder="1" applyAlignment="1" applyProtection="1">
      <alignment horizontal="center"/>
      <protection hidden="1"/>
    </xf>
    <xf numFmtId="43" fontId="26" fillId="0" borderId="102" xfId="1" applyFont="1" applyFill="1" applyBorder="1" applyAlignment="1" applyProtection="1">
      <protection hidden="1"/>
    </xf>
    <xf numFmtId="43" fontId="0" fillId="0" borderId="103" xfId="0" applyNumberFormat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0" fillId="0" borderId="52" xfId="0" applyNumberFormat="1" applyBorder="1" applyAlignment="1" applyProtection="1">
      <protection hidden="1"/>
    </xf>
    <xf numFmtId="43" fontId="31" fillId="46" borderId="13" xfId="0" applyNumberFormat="1" applyFont="1" applyFill="1" applyBorder="1" applyAlignment="1" applyProtection="1">
      <protection hidden="1"/>
    </xf>
    <xf numFmtId="43" fontId="31" fillId="46" borderId="15" xfId="0" applyNumberFormat="1" applyFont="1" applyFill="1" applyBorder="1" applyAlignment="1" applyProtection="1">
      <protection hidden="1"/>
    </xf>
    <xf numFmtId="43" fontId="31" fillId="46" borderId="102" xfId="0" applyNumberFormat="1" applyFont="1" applyFill="1" applyBorder="1" applyAlignment="1" applyProtection="1">
      <protection hidden="1"/>
    </xf>
    <xf numFmtId="43" fontId="31" fillId="46" borderId="103" xfId="0" applyNumberFormat="1" applyFont="1" applyFill="1" applyBorder="1" applyAlignment="1" applyProtection="1">
      <protection hidden="1"/>
    </xf>
    <xf numFmtId="43" fontId="31" fillId="46" borderId="52" xfId="0" applyNumberFormat="1" applyFont="1" applyFill="1" applyBorder="1" applyAlignment="1" applyProtection="1">
      <protection hidden="1"/>
    </xf>
    <xf numFmtId="43" fontId="26" fillId="51" borderId="13" xfId="1" applyNumberFormat="1" applyFont="1" applyFill="1" applyBorder="1" applyAlignment="1" applyProtection="1">
      <protection hidden="1"/>
    </xf>
    <xf numFmtId="43" fontId="26" fillId="51" borderId="15" xfId="1" applyNumberFormat="1" applyFont="1" applyFill="1" applyBorder="1" applyAlignment="1" applyProtection="1">
      <protection hidden="1"/>
    </xf>
    <xf numFmtId="43" fontId="26" fillId="51" borderId="102" xfId="1" applyNumberFormat="1" applyFont="1" applyFill="1" applyBorder="1" applyAlignment="1" applyProtection="1">
      <protection hidden="1"/>
    </xf>
    <xf numFmtId="43" fontId="26" fillId="51" borderId="103" xfId="1" applyNumberFormat="1" applyFont="1" applyFill="1" applyBorder="1" applyAlignment="1" applyProtection="1">
      <protection hidden="1"/>
    </xf>
    <xf numFmtId="43" fontId="26" fillId="51" borderId="52" xfId="1" applyNumberFormat="1" applyFont="1" applyFill="1" applyBorder="1" applyAlignment="1" applyProtection="1"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6" borderId="138" xfId="0" applyNumberFormat="1" applyFont="1" applyFill="1" applyBorder="1" applyAlignment="1" applyProtection="1">
      <protection hidden="1"/>
    </xf>
    <xf numFmtId="43" fontId="32" fillId="46" borderId="112" xfId="0" applyNumberFormat="1" applyFont="1" applyFill="1" applyBorder="1" applyAlignment="1" applyProtection="1">
      <protection hidden="1"/>
    </xf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5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3" xfId="0" applyFont="1" applyBorder="1" applyAlignment="1" applyProtection="1">
      <alignment horizontal="center" vertical="center" wrapText="1"/>
      <protection hidden="1"/>
    </xf>
    <xf numFmtId="0" fontId="0" fillId="0" borderId="127" xfId="0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8" xfId="0" applyFont="1" applyBorder="1" applyAlignment="1" applyProtection="1">
      <alignment horizontal="center" vertical="center" wrapText="1"/>
      <protection hidden="1"/>
    </xf>
    <xf numFmtId="0" fontId="25" fillId="0" borderId="121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0" fontId="2" fillId="52" borderId="117" xfId="0" applyFont="1" applyFill="1" applyBorder="1" applyAlignment="1" applyProtection="1">
      <alignment horizontal="center"/>
      <protection hidden="1"/>
    </xf>
    <xf numFmtId="0" fontId="0" fillId="52" borderId="0" xfId="0" applyFill="1" applyAlignment="1"/>
    <xf numFmtId="0" fontId="26" fillId="0" borderId="129" xfId="0" applyFont="1" applyBorder="1" applyAlignment="1" applyProtection="1">
      <alignment horizontal="left" vertical="center"/>
      <protection hidden="1"/>
    </xf>
    <xf numFmtId="0" fontId="26" fillId="0" borderId="134" xfId="0" applyFont="1" applyBorder="1" applyAlignment="1" applyProtection="1">
      <alignment horizontal="left" vertical="center"/>
      <protection hidden="1"/>
    </xf>
    <xf numFmtId="0" fontId="26" fillId="0" borderId="129" xfId="0" applyFont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31" xfId="0" applyFont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67" borderId="39" xfId="0" applyFont="1" applyFill="1" applyBorder="1" applyAlignment="1" applyProtection="1">
      <alignment horizontal="center" vertical="center" wrapText="1"/>
      <protection hidden="1"/>
    </xf>
    <xf numFmtId="0" fontId="10" fillId="67" borderId="5" xfId="0" applyFont="1" applyFill="1" applyBorder="1" applyAlignment="1" applyProtection="1">
      <alignment horizontal="center" vertical="center" wrapText="1"/>
      <protection hidden="1"/>
    </xf>
    <xf numFmtId="0" fontId="10" fillId="67" borderId="6" xfId="0" applyFont="1" applyFill="1" applyBorder="1" applyAlignment="1" applyProtection="1">
      <alignment horizontal="center" vertical="center" wrapText="1"/>
      <protection hidden="1"/>
    </xf>
    <xf numFmtId="0" fontId="10" fillId="67" borderId="40" xfId="0" applyFont="1" applyFill="1" applyBorder="1" applyAlignment="1" applyProtection="1">
      <alignment horizontal="center" vertical="center" wrapText="1"/>
      <protection hidden="1"/>
    </xf>
    <xf numFmtId="0" fontId="10" fillId="67" borderId="0" xfId="0" applyFont="1" applyFill="1" applyBorder="1" applyAlignment="1" applyProtection="1">
      <alignment horizontal="center" vertical="center" wrapText="1"/>
      <protection hidden="1"/>
    </xf>
    <xf numFmtId="0" fontId="10" fillId="67" borderId="8" xfId="0" applyFont="1" applyFill="1" applyBorder="1" applyAlignment="1" applyProtection="1">
      <alignment horizontal="center" vertical="center" wrapText="1"/>
      <protection hidden="1"/>
    </xf>
    <xf numFmtId="0" fontId="10" fillId="67" borderId="41" xfId="0" applyFont="1" applyFill="1" applyBorder="1" applyAlignment="1" applyProtection="1">
      <alignment horizontal="center" vertical="center" wrapText="1"/>
      <protection hidden="1"/>
    </xf>
    <xf numFmtId="0" fontId="10" fillId="67" borderId="10" xfId="0" applyFont="1" applyFill="1" applyBorder="1" applyAlignment="1" applyProtection="1">
      <alignment horizontal="center" vertical="center" wrapText="1"/>
      <protection hidden="1"/>
    </xf>
    <xf numFmtId="0" fontId="10" fillId="67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61" fillId="67" borderId="39" xfId="0" applyFont="1" applyFill="1" applyBorder="1" applyAlignment="1" applyProtection="1">
      <alignment horizontal="center" vertical="center" wrapText="1"/>
      <protection hidden="1"/>
    </xf>
    <xf numFmtId="0" fontId="61" fillId="67" borderId="5" xfId="0" applyFont="1" applyFill="1" applyBorder="1" applyAlignment="1" applyProtection="1">
      <alignment horizontal="center" vertical="center" wrapText="1"/>
      <protection hidden="1"/>
    </xf>
    <xf numFmtId="0" fontId="61" fillId="67" borderId="6" xfId="0" applyFont="1" applyFill="1" applyBorder="1" applyAlignment="1" applyProtection="1">
      <alignment horizontal="center" vertical="center" wrapText="1"/>
      <protection hidden="1"/>
    </xf>
    <xf numFmtId="0" fontId="61" fillId="67" borderId="40" xfId="0" applyFont="1" applyFill="1" applyBorder="1" applyAlignment="1" applyProtection="1">
      <alignment horizontal="center" vertical="center" wrapText="1"/>
      <protection hidden="1"/>
    </xf>
    <xf numFmtId="0" fontId="61" fillId="67" borderId="0" xfId="0" applyFont="1" applyFill="1" applyBorder="1" applyAlignment="1" applyProtection="1">
      <alignment horizontal="center" vertical="center" wrapText="1"/>
      <protection hidden="1"/>
    </xf>
    <xf numFmtId="0" fontId="61" fillId="67" borderId="8" xfId="0" applyFont="1" applyFill="1" applyBorder="1" applyAlignment="1" applyProtection="1">
      <alignment horizontal="center" vertical="center" wrapText="1"/>
      <protection hidden="1"/>
    </xf>
    <xf numFmtId="0" fontId="61" fillId="67" borderId="41" xfId="0" applyFont="1" applyFill="1" applyBorder="1" applyAlignment="1" applyProtection="1">
      <alignment horizontal="center" vertical="center" wrapText="1"/>
      <protection hidden="1"/>
    </xf>
    <xf numFmtId="0" fontId="61" fillId="67" borderId="10" xfId="0" applyFont="1" applyFill="1" applyBorder="1" applyAlignment="1" applyProtection="1">
      <alignment horizontal="center" vertical="center" wrapText="1"/>
      <protection hidden="1"/>
    </xf>
    <xf numFmtId="0" fontId="61" fillId="67" borderId="11" xfId="0" applyFont="1" applyFill="1" applyBorder="1" applyAlignment="1" applyProtection="1">
      <alignment horizontal="center" vertical="center" wrapText="1"/>
      <protection hidden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43" fontId="10" fillId="52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52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52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62" borderId="4" xfId="0" applyFont="1" applyFill="1" applyBorder="1" applyAlignment="1" applyProtection="1">
      <alignment horizontal="center" vertical="center" wrapText="1"/>
      <protection hidden="1"/>
    </xf>
    <xf numFmtId="0" fontId="8" fillId="62" borderId="5" xfId="0" applyFont="1" applyFill="1" applyBorder="1" applyAlignment="1" applyProtection="1">
      <alignment horizontal="center" vertical="center" wrapText="1"/>
      <protection hidden="1"/>
    </xf>
    <xf numFmtId="0" fontId="8" fillId="62" borderId="6" xfId="0" applyFont="1" applyFill="1" applyBorder="1" applyAlignment="1" applyProtection="1">
      <alignment horizontal="center" vertical="center" wrapText="1"/>
      <protection hidden="1"/>
    </xf>
    <xf numFmtId="0" fontId="8" fillId="62" borderId="7" xfId="0" applyFont="1" applyFill="1" applyBorder="1" applyAlignment="1" applyProtection="1">
      <alignment horizontal="center" vertical="center" wrapText="1"/>
      <protection hidden="1"/>
    </xf>
    <xf numFmtId="0" fontId="8" fillId="62" borderId="0" xfId="0" applyFont="1" applyFill="1" applyBorder="1" applyAlignment="1" applyProtection="1">
      <alignment horizontal="center" vertical="center" wrapText="1"/>
      <protection hidden="1"/>
    </xf>
    <xf numFmtId="0" fontId="8" fillId="62" borderId="8" xfId="0" applyFont="1" applyFill="1" applyBorder="1" applyAlignment="1" applyProtection="1">
      <alignment horizontal="center" vertical="center" wrapText="1"/>
      <protection hidden="1"/>
    </xf>
    <xf numFmtId="0" fontId="8" fillId="62" borderId="30" xfId="0" applyFont="1" applyFill="1" applyBorder="1" applyAlignment="1" applyProtection="1">
      <alignment horizontal="center" vertical="center" wrapText="1"/>
      <protection hidden="1"/>
    </xf>
    <xf numFmtId="0" fontId="8" fillId="62" borderId="31" xfId="0" applyFont="1" applyFill="1" applyBorder="1" applyAlignment="1" applyProtection="1">
      <alignment horizontal="center" vertical="center" wrapText="1"/>
      <protection hidden="1"/>
    </xf>
    <xf numFmtId="0" fontId="8" fillId="62" borderId="32" xfId="0" applyFont="1" applyFill="1" applyBorder="1" applyAlignment="1" applyProtection="1">
      <alignment horizontal="center" vertical="center" wrapText="1"/>
      <protection hidden="1"/>
    </xf>
    <xf numFmtId="1" fontId="9" fillId="62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33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3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62" borderId="17" xfId="0" applyFont="1" applyFill="1" applyBorder="1" applyAlignment="1" applyProtection="1">
      <alignment horizontal="center" vertical="center" wrapText="1"/>
      <protection hidden="1"/>
    </xf>
    <xf numFmtId="0" fontId="8" fillId="62" borderId="24" xfId="0" applyFont="1" applyFill="1" applyBorder="1" applyAlignment="1" applyProtection="1">
      <alignment horizontal="center" vertical="center" wrapText="1"/>
      <protection hidden="1"/>
    </xf>
    <xf numFmtId="0" fontId="8" fillId="62" borderId="28" xfId="0" applyFont="1" applyFill="1" applyBorder="1" applyAlignment="1" applyProtection="1">
      <alignment horizontal="center" vertical="center" wrapText="1"/>
      <protection hidden="1"/>
    </xf>
    <xf numFmtId="0" fontId="8" fillId="62" borderId="29" xfId="0" applyFont="1" applyFill="1" applyBorder="1" applyAlignment="1" applyProtection="1">
      <alignment horizontal="center" vertical="center" wrapText="1"/>
      <protection hidden="1"/>
    </xf>
    <xf numFmtId="0" fontId="8" fillId="62" borderId="18" xfId="0" applyFont="1" applyFill="1" applyBorder="1" applyAlignment="1" applyProtection="1">
      <alignment horizontal="center" vertical="center" wrapText="1"/>
      <protection hidden="1"/>
    </xf>
    <xf numFmtId="0" fontId="8" fillId="62" borderId="1" xfId="0" applyFont="1" applyFill="1" applyBorder="1" applyAlignment="1" applyProtection="1">
      <alignment horizontal="center" vertical="center" wrapText="1"/>
      <protection hidden="1"/>
    </xf>
    <xf numFmtId="0" fontId="8" fillId="62" borderId="19" xfId="0" applyFont="1" applyFill="1" applyBorder="1" applyAlignment="1" applyProtection="1">
      <alignment horizontal="center" vertical="center" wrapText="1"/>
      <protection hidden="1"/>
    </xf>
    <xf numFmtId="0" fontId="8" fillId="62" borderId="20" xfId="0" applyFont="1" applyFill="1" applyBorder="1" applyAlignment="1" applyProtection="1">
      <alignment horizontal="center" vertical="center" wrapText="1"/>
      <protection hidden="1"/>
    </xf>
    <xf numFmtId="0" fontId="8" fillId="62" borderId="9" xfId="0" applyFont="1" applyFill="1" applyBorder="1" applyAlignment="1" applyProtection="1">
      <alignment horizontal="center" vertical="center" wrapText="1"/>
      <protection hidden="1"/>
    </xf>
    <xf numFmtId="0" fontId="8" fillId="62" borderId="11" xfId="0" applyFont="1" applyFill="1" applyBorder="1" applyAlignment="1" applyProtection="1">
      <alignment horizontal="center" vertical="center" wrapText="1"/>
      <protection hidden="1"/>
    </xf>
    <xf numFmtId="0" fontId="8" fillId="62" borderId="21" xfId="0" applyFont="1" applyFill="1" applyBorder="1" applyAlignment="1" applyProtection="1">
      <alignment horizontal="center" vertical="center" wrapText="1"/>
      <protection hidden="1"/>
    </xf>
    <xf numFmtId="0" fontId="8" fillId="62" borderId="12" xfId="0" applyFont="1" applyFill="1" applyBorder="1" applyAlignment="1" applyProtection="1">
      <alignment horizontal="center" vertical="center"/>
      <protection hidden="1"/>
    </xf>
    <xf numFmtId="0" fontId="8" fillId="62" borderId="22" xfId="0" applyFont="1" applyFill="1" applyBorder="1" applyAlignment="1" applyProtection="1">
      <alignment horizontal="center" vertical="center" wrapText="1"/>
      <protection hidden="1"/>
    </xf>
    <xf numFmtId="0" fontId="0" fillId="62" borderId="22" xfId="0" applyFont="1" applyFill="1" applyBorder="1" applyProtection="1">
      <protection hidden="1"/>
    </xf>
    <xf numFmtId="0" fontId="0" fillId="62" borderId="23" xfId="0" applyFont="1" applyFill="1" applyBorder="1" applyProtection="1">
      <protection hidden="1"/>
    </xf>
    <xf numFmtId="0" fontId="0" fillId="62" borderId="7" xfId="0" applyFont="1" applyFill="1" applyBorder="1" applyProtection="1">
      <protection hidden="1"/>
    </xf>
    <xf numFmtId="0" fontId="0" fillId="62" borderId="0" xfId="0" applyFont="1" applyFill="1" applyBorder="1" applyProtection="1">
      <protection hidden="1"/>
    </xf>
    <xf numFmtId="0" fontId="0" fillId="62" borderId="25" xfId="0" applyFont="1" applyFill="1" applyBorder="1" applyProtection="1">
      <protection hidden="1"/>
    </xf>
    <xf numFmtId="0" fontId="0" fillId="62" borderId="9" xfId="0" applyFont="1" applyFill="1" applyBorder="1" applyProtection="1">
      <protection hidden="1"/>
    </xf>
    <xf numFmtId="0" fontId="0" fillId="62" borderId="10" xfId="0" applyFont="1" applyFill="1" applyBorder="1" applyProtection="1">
      <protection hidden="1"/>
    </xf>
    <xf numFmtId="0" fontId="0" fillId="62" borderId="26" xfId="0" applyFont="1" applyFill="1" applyBorder="1" applyProtection="1">
      <protection hidden="1"/>
    </xf>
    <xf numFmtId="1" fontId="9" fillId="62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30" xfId="0" applyNumberFormat="1" applyFont="1" applyFill="1" applyBorder="1" applyAlignment="1" applyProtection="1">
      <alignment horizontal="center"/>
      <protection hidden="1"/>
    </xf>
    <xf numFmtId="0" fontId="9" fillId="62" borderId="4" xfId="0" applyFont="1" applyFill="1" applyBorder="1" applyAlignment="1" applyProtection="1">
      <alignment horizontal="center" vertical="center" wrapText="1"/>
      <protection hidden="1"/>
    </xf>
    <xf numFmtId="0" fontId="9" fillId="62" borderId="27" xfId="0" applyFont="1" applyFill="1" applyBorder="1" applyAlignment="1" applyProtection="1">
      <alignment horizontal="center" vertical="center" wrapText="1"/>
      <protection hidden="1"/>
    </xf>
    <xf numFmtId="0" fontId="9" fillId="62" borderId="7" xfId="0" applyFont="1" applyFill="1" applyBorder="1" applyAlignment="1" applyProtection="1">
      <alignment horizontal="center" vertical="center" wrapText="1"/>
      <protection hidden="1"/>
    </xf>
    <xf numFmtId="0" fontId="9" fillId="62" borderId="25" xfId="0" applyFont="1" applyFill="1" applyBorder="1" applyAlignment="1" applyProtection="1">
      <alignment horizontal="center" vertical="center" wrapText="1"/>
      <protection hidden="1"/>
    </xf>
    <xf numFmtId="0" fontId="9" fillId="62" borderId="30" xfId="0" applyFont="1" applyFill="1" applyBorder="1" applyAlignment="1" applyProtection="1">
      <alignment horizontal="center" vertical="center" wrapText="1"/>
      <protection hidden="1"/>
    </xf>
    <xf numFmtId="0" fontId="9" fillId="62" borderId="35" xfId="0" applyFont="1" applyFill="1" applyBorder="1" applyAlignment="1" applyProtection="1">
      <alignment horizontal="center" vertical="center" wrapText="1"/>
      <protection hidden="1"/>
    </xf>
    <xf numFmtId="0" fontId="8" fillId="62" borderId="10" xfId="0" applyFont="1" applyFill="1" applyBorder="1" applyAlignment="1" applyProtection="1">
      <alignment horizontal="center" vertical="center" wrapText="1"/>
      <protection hidden="1"/>
    </xf>
    <xf numFmtId="0" fontId="9" fillId="62" borderId="3" xfId="0" applyFont="1" applyFill="1" applyBorder="1" applyAlignment="1" applyProtection="1">
      <alignment horizontal="center" vertical="center" wrapText="1"/>
      <protection hidden="1"/>
    </xf>
    <xf numFmtId="0" fontId="0" fillId="62" borderId="12" xfId="0" applyFont="1" applyFill="1" applyBorder="1" applyProtection="1">
      <protection hidden="1"/>
    </xf>
    <xf numFmtId="0" fontId="0" fillId="62" borderId="33" xfId="0" applyFont="1" applyFill="1" applyBorder="1" applyProtection="1">
      <protection hidden="1"/>
    </xf>
    <xf numFmtId="0" fontId="9" fillId="62" borderId="12" xfId="0" applyFont="1" applyFill="1" applyBorder="1" applyAlignment="1" applyProtection="1">
      <alignment horizontal="center" vertical="center" wrapText="1"/>
      <protection hidden="1"/>
    </xf>
    <xf numFmtId="0" fontId="9" fillId="62" borderId="33" xfId="0" applyFont="1" applyFill="1" applyBorder="1" applyAlignment="1" applyProtection="1">
      <alignment horizontal="center" vertical="center" wrapText="1"/>
      <protection hidden="1"/>
    </xf>
    <xf numFmtId="0" fontId="8" fillId="62" borderId="12" xfId="0" applyFont="1" applyFill="1" applyBorder="1" applyAlignment="1" applyProtection="1">
      <alignment horizontal="center" vertical="center" wrapText="1"/>
      <protection hidden="1"/>
    </xf>
    <xf numFmtId="0" fontId="8" fillId="62" borderId="33" xfId="0" applyFont="1" applyFill="1" applyBorder="1" applyAlignment="1" applyProtection="1">
      <alignment horizontal="center" vertical="center" wrapText="1"/>
      <protection hidden="1"/>
    </xf>
    <xf numFmtId="0" fontId="8" fillId="62" borderId="34" xfId="0" applyFont="1" applyFill="1" applyBorder="1" applyAlignment="1" applyProtection="1">
      <alignment horizontal="center" vertical="center" wrapText="1"/>
      <protection hidden="1"/>
    </xf>
    <xf numFmtId="0" fontId="10" fillId="0" borderId="89" xfId="0" applyFont="1" applyFill="1" applyBorder="1" applyAlignment="1" applyProtection="1">
      <alignment horizontal="center" vertical="center" wrapText="1"/>
      <protection hidden="1"/>
    </xf>
    <xf numFmtId="0" fontId="10" fillId="0" borderId="191" xfId="0" applyFont="1" applyFill="1" applyBorder="1" applyAlignment="1" applyProtection="1">
      <alignment horizontal="center" vertical="center" wrapText="1"/>
      <protection hidden="1"/>
    </xf>
    <xf numFmtId="0" fontId="10" fillId="0" borderId="96" xfId="0" applyFont="1" applyFill="1" applyBorder="1" applyAlignment="1" applyProtection="1">
      <alignment horizontal="center" vertical="center" wrapText="1"/>
      <protection hidden="1"/>
    </xf>
    <xf numFmtId="0" fontId="11" fillId="0" borderId="102" xfId="0" applyFont="1" applyFill="1" applyBorder="1" applyAlignment="1" applyProtection="1">
      <alignment horizontal="center" vertical="center" wrapText="1"/>
      <protection hidden="1"/>
    </xf>
    <xf numFmtId="0" fontId="11" fillId="0" borderId="108" xfId="0" applyFont="1" applyFill="1" applyBorder="1" applyAlignment="1" applyProtection="1">
      <alignment horizontal="center" vertical="center" wrapText="1"/>
      <protection hidden="1"/>
    </xf>
    <xf numFmtId="0" fontId="11" fillId="0" borderId="106" xfId="0" applyFont="1" applyFill="1" applyBorder="1" applyAlignment="1" applyProtection="1">
      <alignment horizontal="center" vertical="center" wrapText="1"/>
      <protection hidden="1"/>
    </xf>
    <xf numFmtId="0" fontId="11" fillId="0" borderId="104" xfId="0" applyFont="1" applyFill="1" applyBorder="1" applyAlignment="1" applyProtection="1">
      <alignment horizontal="center" vertical="center" wrapText="1"/>
      <protection hidden="1"/>
    </xf>
    <xf numFmtId="43" fontId="11" fillId="0" borderId="104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9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5" xfId="0" applyFont="1" applyFill="1" applyBorder="1" applyAlignment="1" applyProtection="1">
      <alignment horizontal="center" vertical="center"/>
      <protection hidden="1"/>
    </xf>
    <xf numFmtId="0" fontId="11" fillId="0" borderId="106" xfId="0" applyFont="1" applyFill="1" applyBorder="1" applyAlignment="1" applyProtection="1">
      <alignment horizontal="center" vertical="center"/>
      <protection hidden="1"/>
    </xf>
    <xf numFmtId="0" fontId="11" fillId="0" borderId="102" xfId="0" applyFont="1" applyFill="1" applyBorder="1" applyAlignment="1" applyProtection="1">
      <alignment horizontal="center" vertical="center"/>
      <protection hidden="1"/>
    </xf>
    <xf numFmtId="0" fontId="11" fillId="0" borderId="106" xfId="0" applyFont="1" applyFill="1" applyBorder="1" applyAlignment="1" applyProtection="1">
      <alignment horizontal="left" vertical="center" wrapText="1"/>
      <protection hidden="1"/>
    </xf>
    <xf numFmtId="43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8" xfId="0" applyNumberFormat="1" applyFont="1" applyFill="1" applyBorder="1" applyAlignment="1" applyProtection="1">
      <alignment horizontal="center" vertical="center"/>
      <protection hidden="1"/>
    </xf>
    <xf numFmtId="0" fontId="10" fillId="0" borderId="114" xfId="0" applyFont="1" applyFill="1" applyBorder="1" applyAlignment="1" applyProtection="1">
      <alignment horizontal="center" vertical="center" wrapText="1"/>
      <protection hidden="1"/>
    </xf>
    <xf numFmtId="0" fontId="10" fillId="67" borderId="119" xfId="0" applyFont="1" applyFill="1" applyBorder="1" applyAlignment="1" applyProtection="1">
      <alignment horizontal="center" vertical="center" wrapText="1"/>
      <protection hidden="1"/>
    </xf>
    <xf numFmtId="0" fontId="10" fillId="67" borderId="117" xfId="0" applyFont="1" applyFill="1" applyBorder="1" applyAlignment="1" applyProtection="1">
      <alignment horizontal="center" vertical="center" wrapText="1"/>
      <protection hidden="1"/>
    </xf>
    <xf numFmtId="0" fontId="10" fillId="67" borderId="124" xfId="0" applyFont="1" applyFill="1" applyBorder="1" applyAlignment="1" applyProtection="1">
      <alignment horizontal="center" vertical="center" wrapText="1"/>
      <protection hidden="1"/>
    </xf>
    <xf numFmtId="0" fontId="10" fillId="52" borderId="119" xfId="0" applyFont="1" applyFill="1" applyBorder="1" applyAlignment="1" applyProtection="1">
      <alignment horizontal="center" vertical="center" wrapText="1"/>
      <protection hidden="1"/>
    </xf>
    <xf numFmtId="0" fontId="10" fillId="52" borderId="5" xfId="0" applyFont="1" applyFill="1" applyBorder="1" applyAlignment="1" applyProtection="1">
      <alignment horizontal="center" vertical="center" wrapText="1"/>
      <protection hidden="1"/>
    </xf>
    <xf numFmtId="0" fontId="10" fillId="52" borderId="6" xfId="0" applyFont="1" applyFill="1" applyBorder="1" applyAlignment="1" applyProtection="1">
      <alignment horizontal="center" vertical="center" wrapText="1"/>
      <protection hidden="1"/>
    </xf>
    <xf numFmtId="0" fontId="10" fillId="52" borderId="117" xfId="0" applyFont="1" applyFill="1" applyBorder="1" applyAlignment="1" applyProtection="1">
      <alignment horizontal="center" vertical="center" wrapText="1"/>
      <protection hidden="1"/>
    </xf>
    <xf numFmtId="0" fontId="10" fillId="52" borderId="0" xfId="0" applyFont="1" applyFill="1" applyBorder="1" applyAlignment="1" applyProtection="1">
      <alignment horizontal="center" vertical="center" wrapText="1"/>
      <protection hidden="1"/>
    </xf>
    <xf numFmtId="0" fontId="10" fillId="52" borderId="8" xfId="0" applyFont="1" applyFill="1" applyBorder="1" applyAlignment="1" applyProtection="1">
      <alignment horizontal="center" vertical="center" wrapText="1"/>
      <protection hidden="1"/>
    </xf>
    <xf numFmtId="0" fontId="10" fillId="52" borderId="121" xfId="0" applyFont="1" applyFill="1" applyBorder="1" applyAlignment="1" applyProtection="1">
      <alignment horizontal="center" vertical="center" wrapText="1"/>
      <protection hidden="1"/>
    </xf>
    <xf numFmtId="0" fontId="10" fillId="52" borderId="122" xfId="0" applyFont="1" applyFill="1" applyBorder="1" applyAlignment="1" applyProtection="1">
      <alignment horizontal="center" vertical="center" wrapText="1"/>
      <protection hidden="1"/>
    </xf>
    <xf numFmtId="0" fontId="10" fillId="52" borderId="94" xfId="0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20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118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06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31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25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36" xfId="5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11" fillId="21" borderId="189" xfId="5" applyFont="1" applyFill="1" applyBorder="1" applyAlignment="1" applyProtection="1">
      <alignment horizontal="center" vertical="center"/>
      <protection hidden="1"/>
    </xf>
    <xf numFmtId="0" fontId="11" fillId="21" borderId="37" xfId="5" applyFont="1" applyFill="1" applyBorder="1" applyAlignment="1" applyProtection="1">
      <alignment horizontal="center" vertical="center"/>
      <protection hidden="1"/>
    </xf>
    <xf numFmtId="0" fontId="11" fillId="21" borderId="189" xfId="5" applyFont="1" applyFill="1" applyBorder="1" applyAlignment="1" applyProtection="1">
      <alignment horizontal="left" vertical="center" wrapText="1"/>
      <protection hidden="1"/>
    </xf>
    <xf numFmtId="0" fontId="11" fillId="21" borderId="190" xfId="5" applyFont="1" applyFill="1" applyBorder="1" applyAlignment="1" applyProtection="1">
      <alignment horizontal="left" vertical="center" wrapText="1"/>
      <protection hidden="1"/>
    </xf>
    <xf numFmtId="0" fontId="11" fillId="21" borderId="37" xfId="5" applyFont="1" applyFill="1" applyBorder="1" applyAlignment="1" applyProtection="1">
      <alignment horizontal="left" vertical="center" wrapText="1"/>
      <protection hidden="1"/>
    </xf>
    <xf numFmtId="0" fontId="11" fillId="21" borderId="38" xfId="5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11" fillId="21" borderId="15" xfId="5" applyFont="1" applyFill="1" applyBorder="1" applyAlignment="1" applyProtection="1">
      <alignment horizontal="center" vertical="center"/>
      <protection hidden="1"/>
    </xf>
    <xf numFmtId="0" fontId="11" fillId="21" borderId="13" xfId="5" applyFont="1" applyFill="1" applyBorder="1" applyAlignment="1" applyProtection="1">
      <alignment horizontal="center" vertical="center"/>
      <protection hidden="1"/>
    </xf>
    <xf numFmtId="0" fontId="11" fillId="21" borderId="15" xfId="5" applyFont="1" applyFill="1" applyBorder="1" applyAlignment="1" applyProtection="1">
      <alignment horizontal="left" vertical="center" wrapText="1"/>
      <protection hidden="1"/>
    </xf>
    <xf numFmtId="0" fontId="11" fillId="21" borderId="14" xfId="5" applyFont="1" applyFill="1" applyBorder="1" applyAlignment="1" applyProtection="1">
      <alignment horizontal="left" vertical="center" wrapText="1"/>
      <protection hidden="1"/>
    </xf>
    <xf numFmtId="0" fontId="11" fillId="21" borderId="13" xfId="5" applyFont="1" applyFill="1" applyBorder="1" applyAlignment="1" applyProtection="1">
      <alignment horizontal="left" vertical="center" wrapText="1"/>
      <protection hidden="1"/>
    </xf>
    <xf numFmtId="0" fontId="10" fillId="69" borderId="39" xfId="5" applyFont="1" applyFill="1" applyBorder="1" applyAlignment="1" applyProtection="1">
      <alignment horizontal="center" vertical="center" wrapText="1"/>
      <protection hidden="1"/>
    </xf>
    <xf numFmtId="0" fontId="10" fillId="69" borderId="5" xfId="5" applyFont="1" applyFill="1" applyBorder="1" applyAlignment="1" applyProtection="1">
      <alignment horizontal="center" vertical="center" wrapText="1"/>
      <protection hidden="1"/>
    </xf>
    <xf numFmtId="0" fontId="2" fillId="70" borderId="5" xfId="0" applyFont="1" applyFill="1" applyBorder="1" applyAlignment="1">
      <alignment vertical="center" wrapText="1"/>
    </xf>
    <xf numFmtId="0" fontId="2" fillId="70" borderId="6" xfId="0" applyFont="1" applyFill="1" applyBorder="1" applyAlignment="1">
      <alignment vertical="center" wrapText="1"/>
    </xf>
    <xf numFmtId="0" fontId="10" fillId="69" borderId="41" xfId="5" applyFont="1" applyFill="1" applyBorder="1" applyAlignment="1" applyProtection="1">
      <alignment horizontal="center" vertical="center" wrapText="1"/>
      <protection hidden="1"/>
    </xf>
    <xf numFmtId="0" fontId="10" fillId="69" borderId="10" xfId="5" applyFont="1" applyFill="1" applyBorder="1" applyAlignment="1" applyProtection="1">
      <alignment horizontal="center" vertical="center" wrapText="1"/>
      <protection hidden="1"/>
    </xf>
    <xf numFmtId="0" fontId="2" fillId="70" borderId="10" xfId="0" applyFont="1" applyFill="1" applyBorder="1" applyAlignment="1">
      <alignment vertical="center" wrapText="1"/>
    </xf>
    <xf numFmtId="0" fontId="2" fillId="70" borderId="11" xfId="0" applyFont="1" applyFill="1" applyBorder="1" applyAlignment="1">
      <alignment vertical="center" wrapText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173" xfId="5" applyNumberFormat="1" applyFont="1" applyFill="1" applyBorder="1" applyAlignment="1" applyProtection="1">
      <alignment horizontal="right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61" fillId="24" borderId="18" xfId="5" applyFont="1" applyFill="1" applyBorder="1" applyAlignment="1" applyProtection="1">
      <alignment horizontal="center" vertical="center" wrapText="1"/>
      <protection hidden="1"/>
    </xf>
    <xf numFmtId="0" fontId="61" fillId="24" borderId="1" xfId="5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0" fillId="69" borderId="6" xfId="5" applyFont="1" applyFill="1" applyBorder="1" applyAlignment="1" applyProtection="1">
      <alignment horizontal="center" vertical="center" wrapText="1"/>
      <protection hidden="1"/>
    </xf>
    <xf numFmtId="0" fontId="10" fillId="69" borderId="40" xfId="5" applyFont="1" applyFill="1" applyBorder="1" applyAlignment="1" applyProtection="1">
      <alignment horizontal="center" vertical="center" wrapText="1"/>
      <protection hidden="1"/>
    </xf>
    <xf numFmtId="0" fontId="10" fillId="69" borderId="0" xfId="5" applyFont="1" applyFill="1" applyBorder="1" applyAlignment="1" applyProtection="1">
      <alignment horizontal="center" vertical="center" wrapText="1"/>
      <protection hidden="1"/>
    </xf>
    <xf numFmtId="0" fontId="10" fillId="69" borderId="8" xfId="5" applyFont="1" applyFill="1" applyBorder="1" applyAlignment="1" applyProtection="1">
      <alignment horizontal="center" vertical="center" wrapText="1"/>
      <protection hidden="1"/>
    </xf>
    <xf numFmtId="0" fontId="10" fillId="69" borderId="11" xfId="5" applyFont="1" applyFill="1" applyBorder="1" applyAlignment="1" applyProtection="1">
      <alignment horizontal="center" vertical="center" wrapText="1"/>
      <protection hidden="1"/>
    </xf>
    <xf numFmtId="0" fontId="3" fillId="24" borderId="1" xfId="5" applyFont="1" applyFill="1" applyBorder="1" applyAlignment="1" applyProtection="1">
      <alignment horizontal="center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0" fontId="3" fillId="24" borderId="3" xfId="5" applyFont="1" applyFill="1" applyBorder="1" applyAlignment="1" applyProtection="1">
      <alignment horizontal="center" vertical="center" wrapText="1"/>
      <protection hidden="1"/>
    </xf>
    <xf numFmtId="0" fontId="3" fillId="24" borderId="12" xfId="5" applyFont="1" applyFill="1" applyBorder="1" applyAlignment="1" applyProtection="1">
      <alignment horizontal="center" vertical="center" wrapText="1"/>
      <protection hidden="1"/>
    </xf>
    <xf numFmtId="0" fontId="3" fillId="24" borderId="33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3" fontId="3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32" xfId="5" applyFont="1" applyFill="1" applyBorder="1" applyAlignment="1" applyProtection="1">
      <alignment horizontal="center" vertical="center" wrapText="1"/>
      <protection hidden="1"/>
    </xf>
    <xf numFmtId="0" fontId="3" fillId="24" borderId="34" xfId="5" applyFont="1" applyFill="1" applyBorder="1" applyAlignment="1" applyProtection="1">
      <alignment horizontal="center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06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/>
      <protection hidden="1"/>
    </xf>
    <xf numFmtId="0" fontId="11" fillId="21" borderId="22" xfId="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1" borderId="7" xfId="5" applyFont="1" applyFill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21" borderId="4" xfId="5" applyFont="1" applyFill="1" applyBorder="1" applyAlignment="1" applyProtection="1">
      <alignment horizontal="center" vertical="center" wrapText="1"/>
      <protection hidden="1"/>
    </xf>
    <xf numFmtId="0" fontId="11" fillId="21" borderId="5" xfId="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21" borderId="130" xfId="5" applyFont="1" applyFill="1" applyBorder="1" applyAlignment="1" applyProtection="1">
      <alignment horizontal="center" vertical="center" wrapText="1"/>
      <protection hidden="1"/>
    </xf>
    <xf numFmtId="0" fontId="5" fillId="21" borderId="113" xfId="5" applyFont="1" applyFill="1" applyBorder="1" applyAlignment="1" applyProtection="1">
      <alignment horizontal="center" vertical="center" wrapText="1"/>
      <protection hidden="1"/>
    </xf>
    <xf numFmtId="0" fontId="5" fillId="21" borderId="171" xfId="5" applyFont="1" applyFill="1" applyBorder="1" applyAlignment="1" applyProtection="1">
      <alignment horizontal="center" vertical="center" wrapText="1"/>
      <protection hidden="1"/>
    </xf>
    <xf numFmtId="0" fontId="5" fillId="21" borderId="117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1" xfId="5" applyFont="1" applyFill="1" applyBorder="1" applyAlignment="1" applyProtection="1">
      <alignment horizontal="center" vertical="center" wrapText="1"/>
      <protection hidden="1"/>
    </xf>
    <xf numFmtId="0" fontId="5" fillId="21" borderId="122" xfId="5" applyFont="1" applyFill="1" applyBorder="1" applyAlignment="1" applyProtection="1">
      <alignment horizontal="center" vertical="center" wrapText="1"/>
      <protection hidden="1"/>
    </xf>
    <xf numFmtId="0" fontId="5" fillId="21" borderId="173" xfId="5" applyFont="1" applyFill="1" applyBorder="1" applyAlignment="1" applyProtection="1">
      <alignment horizontal="center" vertical="center" wrapText="1"/>
      <protection hidden="1"/>
    </xf>
    <xf numFmtId="4" fontId="10" fillId="26" borderId="8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61" fillId="24" borderId="106" xfId="5" applyFont="1" applyFill="1" applyBorder="1" applyAlignment="1" applyProtection="1">
      <alignment horizontal="center" vertical="center" wrapText="1"/>
      <protection hidden="1"/>
    </xf>
    <xf numFmtId="0" fontId="61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6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09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92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4" xfId="5" applyFont="1" applyFill="1" applyBorder="1" applyAlignment="1" applyProtection="1">
      <alignment horizontal="center" vertical="center" wrapText="1"/>
      <protection hidden="1"/>
    </xf>
    <xf numFmtId="43" fontId="10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2" xfId="5" applyFont="1" applyFill="1" applyBorder="1" applyAlignment="1" applyProtection="1">
      <alignment horizontal="center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33" xfId="5" applyNumberFormat="1" applyFont="1" applyFill="1" applyBorder="1" applyAlignment="1" applyProtection="1">
      <alignment horizontal="center" vertical="center" wrapText="1"/>
      <protection hidden="1"/>
    </xf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4" fillId="23" borderId="39" xfId="5" applyFont="1" applyFill="1" applyBorder="1" applyAlignment="1" applyProtection="1">
      <alignment horizontal="center" vertical="center" wrapText="1"/>
      <protection hidden="1"/>
    </xf>
    <xf numFmtId="0" fontId="14" fillId="23" borderId="6" xfId="5" applyFont="1" applyFill="1" applyBorder="1" applyAlignment="1" applyProtection="1">
      <alignment horizontal="center" vertical="center" wrapText="1"/>
      <protection hidden="1"/>
    </xf>
    <xf numFmtId="0" fontId="14" fillId="23" borderId="41" xfId="5" applyFont="1" applyFill="1" applyBorder="1" applyAlignment="1" applyProtection="1">
      <alignment horizontal="center" vertical="center" wrapText="1"/>
      <protection hidden="1"/>
    </xf>
    <xf numFmtId="0" fontId="14" fillId="23" borderId="11" xfId="5" applyFont="1" applyFill="1" applyBorder="1" applyAlignment="1" applyProtection="1">
      <alignment horizontal="center" vertical="center" wrapText="1"/>
      <protection hidden="1"/>
    </xf>
    <xf numFmtId="0" fontId="14" fillId="23" borderId="4" xfId="5" applyFont="1" applyFill="1" applyBorder="1" applyAlignment="1" applyProtection="1">
      <alignment horizontal="center" vertical="center" wrapText="1"/>
      <protection hidden="1"/>
    </xf>
    <xf numFmtId="0" fontId="14" fillId="23" borderId="9" xfId="5" applyFont="1" applyFill="1" applyBorder="1" applyAlignment="1" applyProtection="1">
      <alignment horizontal="center" vertical="center" wrapText="1"/>
      <protection hidden="1"/>
    </xf>
    <xf numFmtId="0" fontId="14" fillId="23" borderId="5" xfId="5" applyFont="1" applyFill="1" applyBorder="1" applyAlignment="1" applyProtection="1">
      <alignment horizontal="center" vertical="center" wrapText="1"/>
      <protection hidden="1"/>
    </xf>
    <xf numFmtId="0" fontId="14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4" fillId="23" borderId="17" xfId="5" applyFont="1" applyFill="1" applyBorder="1" applyAlignment="1" applyProtection="1">
      <alignment horizontal="center" vertical="center" wrapText="1"/>
      <protection hidden="1"/>
    </xf>
    <xf numFmtId="0" fontId="14" fillId="23" borderId="18" xfId="5" applyFont="1" applyFill="1" applyBorder="1" applyAlignment="1" applyProtection="1">
      <alignment horizontal="center" vertical="center" wrapText="1"/>
      <protection hidden="1"/>
    </xf>
    <xf numFmtId="0" fontId="14" fillId="23" borderId="24" xfId="5" applyFont="1" applyFill="1" applyBorder="1" applyAlignment="1" applyProtection="1">
      <alignment horizontal="center" vertical="center" wrapText="1"/>
      <protection hidden="1"/>
    </xf>
    <xf numFmtId="0" fontId="14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left" vertical="center" wrapText="1"/>
    </xf>
    <xf numFmtId="0" fontId="45" fillId="2" borderId="149" xfId="3" applyFont="1" applyFill="1" applyBorder="1" applyAlignment="1">
      <alignment horizontal="center" vertical="center"/>
    </xf>
    <xf numFmtId="0" fontId="37" fillId="2" borderId="149" xfId="2" applyFill="1" applyBorder="1" applyAlignment="1">
      <alignment horizontal="center" vertical="center"/>
    </xf>
    <xf numFmtId="0" fontId="39" fillId="2" borderId="145" xfId="2" applyFont="1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4" fontId="39" fillId="2" borderId="149" xfId="2" applyNumberFormat="1" applyFont="1" applyFill="1" applyBorder="1" applyAlignment="1">
      <alignment horizontal="right" vertical="center"/>
    </xf>
    <xf numFmtId="4" fontId="37" fillId="2" borderId="149" xfId="2" applyNumberFormat="1" applyFill="1" applyBorder="1" applyAlignment="1">
      <alignment horizontal="right" vertical="center"/>
    </xf>
    <xf numFmtId="4" fontId="39" fillId="2" borderId="149" xfId="3" applyNumberFormat="1" applyFont="1" applyFill="1" applyBorder="1" applyAlignment="1">
      <alignment horizontal="right" vertical="center"/>
    </xf>
    <xf numFmtId="0" fontId="45" fillId="2" borderId="145" xfId="3" applyFont="1" applyFill="1" applyBorder="1" applyAlignment="1">
      <alignment horizontal="center" vertical="center"/>
    </xf>
    <xf numFmtId="0" fontId="37" fillId="2" borderId="145" xfId="2" applyFill="1" applyBorder="1" applyAlignment="1">
      <alignment horizontal="center" vertical="center"/>
    </xf>
    <xf numFmtId="4" fontId="39" fillId="2" borderId="145" xfId="2" applyNumberFormat="1" applyFont="1" applyFill="1" applyBorder="1" applyAlignment="1">
      <alignment horizontal="right" vertical="center"/>
    </xf>
    <xf numFmtId="4" fontId="37" fillId="2" borderId="145" xfId="2" applyNumberFormat="1" applyFill="1" applyBorder="1" applyAlignment="1">
      <alignment horizontal="right" vertical="center"/>
    </xf>
    <xf numFmtId="4" fontId="39" fillId="2" borderId="145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5" fillId="3" borderId="145" xfId="3" applyFont="1" applyFill="1" applyBorder="1" applyAlignment="1">
      <alignment horizontal="center" vertical="center"/>
    </xf>
    <xf numFmtId="0" fontId="37" fillId="3" borderId="145" xfId="2" applyFill="1" applyBorder="1" applyAlignment="1">
      <alignment horizontal="center" vertical="center"/>
    </xf>
    <xf numFmtId="0" fontId="39" fillId="3" borderId="145" xfId="2" applyFont="1" applyFill="1" applyBorder="1" applyAlignment="1">
      <alignment horizontal="center" vertical="center"/>
    </xf>
    <xf numFmtId="4" fontId="39" fillId="3" borderId="145" xfId="2" applyNumberFormat="1" applyFont="1" applyFill="1" applyBorder="1" applyAlignment="1">
      <alignment horizontal="right" vertical="center"/>
    </xf>
    <xf numFmtId="4" fontId="37" fillId="3" borderId="145" xfId="2" applyNumberFormat="1" applyFill="1" applyBorder="1" applyAlignment="1">
      <alignment horizontal="right" vertical="center"/>
    </xf>
    <xf numFmtId="4" fontId="39" fillId="3" borderId="145" xfId="3" applyNumberFormat="1" applyFont="1" applyFill="1" applyBorder="1" applyAlignment="1">
      <alignment horizontal="right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0" fontId="39" fillId="3" borderId="148" xfId="2" applyFont="1" applyFill="1" applyBorder="1" applyAlignment="1">
      <alignment horizontal="center" vertical="center"/>
    </xf>
    <xf numFmtId="43" fontId="15" fillId="52" borderId="3" xfId="0" applyNumberFormat="1" applyFont="1" applyFill="1" applyBorder="1" applyAlignment="1">
      <alignment horizontal="center" vertical="center" wrapText="1"/>
    </xf>
    <xf numFmtId="43" fontId="15" fillId="52" borderId="12" xfId="0" applyNumberFormat="1" applyFont="1" applyFill="1" applyBorder="1" applyAlignment="1">
      <alignment horizontal="center" vertical="center" wrapText="1"/>
    </xf>
    <xf numFmtId="43" fontId="15" fillId="52" borderId="92" xfId="0" applyNumberFormat="1" applyFont="1" applyFill="1" applyBorder="1" applyAlignment="1">
      <alignment horizontal="center" vertical="center" wrapText="1"/>
    </xf>
    <xf numFmtId="166" fontId="15" fillId="52" borderId="116" xfId="0" applyNumberFormat="1" applyFont="1" applyFill="1" applyBorder="1" applyAlignment="1">
      <alignment horizontal="center" vertical="center" wrapText="1"/>
    </xf>
    <xf numFmtId="166" fontId="15" fillId="52" borderId="172" xfId="0" applyNumberFormat="1" applyFont="1" applyFill="1" applyBorder="1" applyAlignment="1">
      <alignment horizontal="center" vertical="center" wrapText="1"/>
    </xf>
    <xf numFmtId="166" fontId="15" fillId="52" borderId="95" xfId="0" applyNumberFormat="1" applyFont="1" applyFill="1" applyBorder="1" applyAlignment="1">
      <alignment horizontal="center" vertical="center" wrapText="1"/>
    </xf>
    <xf numFmtId="43" fontId="14" fillId="65" borderId="1" xfId="0" applyNumberFormat="1" applyFont="1" applyFill="1" applyBorder="1" applyAlignment="1">
      <alignment horizontal="center" vertical="center" wrapText="1"/>
    </xf>
    <xf numFmtId="43" fontId="14" fillId="65" borderId="104" xfId="0" applyNumberFormat="1" applyFont="1" applyFill="1" applyBorder="1" applyAlignment="1">
      <alignment horizontal="center" vertical="center" wrapText="1"/>
    </xf>
    <xf numFmtId="43" fontId="15" fillId="52" borderId="116" xfId="0" applyNumberFormat="1" applyFont="1" applyFill="1" applyBorder="1" applyAlignment="1">
      <alignment horizontal="center" vertical="center" wrapText="1"/>
    </xf>
    <xf numFmtId="43" fontId="15" fillId="52" borderId="172" xfId="0" applyNumberFormat="1" applyFont="1" applyFill="1" applyBorder="1" applyAlignment="1">
      <alignment horizontal="center" vertical="center" wrapText="1"/>
    </xf>
    <xf numFmtId="43" fontId="15" fillId="52" borderId="176" xfId="0" applyNumberFormat="1" applyFont="1" applyFill="1" applyBorder="1" applyAlignment="1">
      <alignment horizontal="center" vertical="center" wrapText="1"/>
    </xf>
    <xf numFmtId="43" fontId="15" fillId="52" borderId="177" xfId="0" applyNumberFormat="1" applyFont="1" applyFill="1" applyBorder="1" applyAlignment="1">
      <alignment horizontal="center" vertical="center" wrapText="1"/>
    </xf>
    <xf numFmtId="43" fontId="15" fillId="52" borderId="95" xfId="0" applyNumberFormat="1" applyFont="1" applyFill="1" applyBorder="1" applyAlignment="1">
      <alignment horizontal="center" vertical="center" wrapText="1"/>
    </xf>
    <xf numFmtId="43" fontId="15" fillId="52" borderId="54" xfId="0" applyNumberFormat="1" applyFont="1" applyFill="1" applyBorder="1" applyAlignment="1">
      <alignment horizontal="center" vertical="center" wrapText="1"/>
    </xf>
    <xf numFmtId="43" fontId="15" fillId="52" borderId="53" xfId="0" applyNumberFormat="1" applyFont="1" applyFill="1" applyBorder="1" applyAlignment="1">
      <alignment horizontal="center" vertical="center" wrapText="1"/>
    </xf>
    <xf numFmtId="43" fontId="15" fillId="52" borderId="56" xfId="0" applyNumberFormat="1" applyFont="1" applyFill="1" applyBorder="1" applyAlignment="1">
      <alignment horizontal="center" vertical="center" wrapText="1"/>
    </xf>
    <xf numFmtId="0" fontId="15" fillId="52" borderId="13" xfId="0" applyFont="1" applyFill="1" applyBorder="1" applyAlignment="1">
      <alignment horizontal="center" vertical="center" wrapText="1"/>
    </xf>
    <xf numFmtId="0" fontId="15" fillId="52" borderId="1" xfId="0" applyFont="1" applyFill="1" applyBorder="1" applyAlignment="1">
      <alignment horizontal="center" vertical="center" wrapText="1"/>
    </xf>
    <xf numFmtId="0" fontId="15" fillId="52" borderId="6" xfId="0" applyFont="1" applyFill="1" applyBorder="1" applyAlignment="1">
      <alignment horizontal="center" vertical="center" wrapText="1"/>
    </xf>
    <xf numFmtId="0" fontId="15" fillId="52" borderId="3" xfId="0" applyFont="1" applyFill="1" applyBorder="1" applyAlignment="1">
      <alignment horizontal="center" vertical="center" wrapText="1"/>
    </xf>
    <xf numFmtId="0" fontId="15" fillId="64" borderId="3" xfId="0" applyFont="1" applyFill="1" applyBorder="1" applyAlignment="1">
      <alignment horizontal="center" vertical="center" wrapText="1"/>
    </xf>
    <xf numFmtId="0" fontId="15" fillId="64" borderId="12" xfId="0" applyFont="1" applyFill="1" applyBorder="1" applyAlignment="1">
      <alignment horizontal="center" vertical="center" wrapText="1"/>
    </xf>
    <xf numFmtId="0" fontId="15" fillId="64" borderId="9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2" xfId="0" applyBorder="1"/>
    <xf numFmtId="0" fontId="15" fillId="52" borderId="12" xfId="0" applyFont="1" applyFill="1" applyBorder="1" applyAlignment="1">
      <alignment horizontal="center" vertical="center" wrapText="1"/>
    </xf>
    <xf numFmtId="0" fontId="15" fillId="52" borderId="92" xfId="0" applyFont="1" applyFill="1" applyBorder="1" applyAlignment="1">
      <alignment horizontal="center" vertical="center" wrapText="1"/>
    </xf>
    <xf numFmtId="43" fontId="14" fillId="52" borderId="136" xfId="0" applyNumberFormat="1" applyFont="1" applyFill="1" applyBorder="1" applyAlignment="1">
      <alignment horizontal="center" vertical="center" wrapText="1"/>
    </xf>
    <xf numFmtId="43" fontId="14" fillId="52" borderId="52" xfId="0" applyNumberFormat="1" applyFont="1" applyFill="1" applyBorder="1" applyAlignment="1">
      <alignment horizontal="center" vertical="center" wrapText="1"/>
    </xf>
    <xf numFmtId="43" fontId="14" fillId="52" borderId="106" xfId="0" applyNumberFormat="1" applyFont="1" applyFill="1" applyBorder="1" applyAlignment="1">
      <alignment horizontal="center" vertical="center" wrapText="1"/>
    </xf>
    <xf numFmtId="43" fontId="14" fillId="52" borderId="1" xfId="0" applyNumberFormat="1" applyFont="1" applyFill="1" applyBorder="1" applyAlignment="1">
      <alignment horizontal="center" vertical="center" wrapText="1"/>
    </xf>
    <xf numFmtId="0" fontId="14" fillId="52" borderId="105" xfId="0" applyFont="1" applyFill="1" applyBorder="1" applyAlignment="1">
      <alignment horizontal="center" vertical="center" wrapText="1"/>
    </xf>
    <xf numFmtId="0" fontId="14" fillId="52" borderId="102" xfId="0" applyFont="1" applyFill="1" applyBorder="1" applyAlignment="1">
      <alignment horizontal="center" vertical="center" wrapText="1"/>
    </xf>
    <xf numFmtId="0" fontId="14" fillId="52" borderId="119" xfId="0" applyFont="1" applyFill="1" applyBorder="1" applyAlignment="1">
      <alignment horizontal="center" vertical="center" wrapText="1"/>
    </xf>
    <xf numFmtId="0" fontId="14" fillId="52" borderId="108" xfId="0" applyFont="1" applyFill="1" applyBorder="1" applyAlignment="1">
      <alignment horizontal="center" vertical="center" wrapText="1"/>
    </xf>
    <xf numFmtId="0" fontId="14" fillId="52" borderId="97" xfId="0" applyFont="1" applyFill="1" applyBorder="1" applyAlignment="1">
      <alignment horizontal="center" vertical="center" wrapText="1"/>
    </xf>
    <xf numFmtId="0" fontId="15" fillId="52" borderId="114" xfId="0" applyFont="1" applyFill="1" applyBorder="1" applyAlignment="1">
      <alignment horizontal="center" vertical="center"/>
    </xf>
    <xf numFmtId="0" fontId="15" fillId="52" borderId="106" xfId="0" applyFont="1" applyFill="1" applyBorder="1" applyAlignment="1">
      <alignment horizontal="center" vertical="center"/>
    </xf>
    <xf numFmtId="0" fontId="15" fillId="52" borderId="13" xfId="0" applyFont="1" applyFill="1" applyBorder="1" applyAlignment="1">
      <alignment horizontal="center" vertical="center"/>
    </xf>
    <xf numFmtId="0" fontId="15" fillId="52" borderId="1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 wrapText="1"/>
    </xf>
    <xf numFmtId="0" fontId="15" fillId="52" borderId="83" xfId="0" applyFont="1" applyFill="1" applyBorder="1" applyAlignment="1">
      <alignment horizontal="center" vertical="center" wrapText="1"/>
    </xf>
    <xf numFmtId="0" fontId="15" fillId="52" borderId="8" xfId="0" applyFont="1" applyFill="1" applyBorder="1" applyAlignment="1">
      <alignment horizontal="center" vertical="center" wrapText="1"/>
    </xf>
    <xf numFmtId="43" fontId="14" fillId="63" borderId="83" xfId="0" applyNumberFormat="1" applyFont="1" applyFill="1" applyBorder="1" applyAlignment="1">
      <alignment horizontal="center" vertical="center" wrapText="1"/>
    </xf>
    <xf numFmtId="43" fontId="14" fillId="63" borderId="12" xfId="0" applyNumberFormat="1" applyFont="1" applyFill="1" applyBorder="1" applyAlignment="1">
      <alignment horizontal="center" vertical="center"/>
    </xf>
    <xf numFmtId="0" fontId="14" fillId="64" borderId="106" xfId="0" applyFont="1" applyFill="1" applyBorder="1" applyAlignment="1">
      <alignment horizontal="center" vertical="center" wrapText="1"/>
    </xf>
    <xf numFmtId="0" fontId="14" fillId="64" borderId="1" xfId="0" applyFont="1" applyFill="1" applyBorder="1" applyAlignment="1">
      <alignment horizontal="center" vertical="center" wrapText="1"/>
    </xf>
    <xf numFmtId="0" fontId="14" fillId="52" borderId="7" xfId="0" applyFont="1" applyFill="1" applyBorder="1" applyAlignment="1">
      <alignment horizontal="center" vertical="center" wrapText="1" shrinkToFit="1"/>
    </xf>
    <xf numFmtId="0" fontId="14" fillId="52" borderId="0" xfId="0" applyFont="1" applyFill="1" applyBorder="1" applyAlignment="1">
      <alignment horizontal="center" vertical="center" wrapText="1" shrinkToFit="1"/>
    </xf>
    <xf numFmtId="0" fontId="14" fillId="52" borderId="8" xfId="0" applyFont="1" applyFill="1" applyBorder="1" applyAlignment="1">
      <alignment horizontal="center" vertical="center" wrapText="1" shrinkToFit="1"/>
    </xf>
    <xf numFmtId="0" fontId="14" fillId="52" borderId="93" xfId="0" applyFont="1" applyFill="1" applyBorder="1" applyAlignment="1">
      <alignment horizontal="center" vertical="center" wrapText="1" shrinkToFit="1"/>
    </xf>
    <xf numFmtId="0" fontId="14" fillId="52" borderId="122" xfId="0" applyFont="1" applyFill="1" applyBorder="1" applyAlignment="1">
      <alignment horizontal="center" vertical="center" wrapText="1" shrinkToFit="1"/>
    </xf>
    <xf numFmtId="0" fontId="14" fillId="52" borderId="94" xfId="0" applyFont="1" applyFill="1" applyBorder="1" applyAlignment="1">
      <alignment horizontal="center" vertical="center" wrapText="1" shrinkToFit="1"/>
    </xf>
    <xf numFmtId="0" fontId="15" fillId="52" borderId="2" xfId="0" applyFont="1" applyFill="1" applyBorder="1" applyAlignment="1">
      <alignment horizontal="center" vertical="center" wrapText="1"/>
    </xf>
    <xf numFmtId="43" fontId="15" fillId="52" borderId="4" xfId="0" applyNumberFormat="1" applyFont="1" applyFill="1" applyBorder="1" applyAlignment="1">
      <alignment horizontal="center" vertical="center" wrapText="1"/>
    </xf>
    <xf numFmtId="43" fontId="15" fillId="52" borderId="7" xfId="0" applyNumberFormat="1" applyFont="1" applyFill="1" applyBorder="1" applyAlignment="1">
      <alignment horizontal="center" vertical="center" wrapText="1"/>
    </xf>
    <xf numFmtId="43" fontId="15" fillId="52" borderId="93" xfId="0" applyNumberFormat="1" applyFont="1" applyFill="1" applyBorder="1" applyAlignment="1">
      <alignment horizontal="center" vertical="center" wrapText="1"/>
    </xf>
    <xf numFmtId="43" fontId="14" fillId="65" borderId="3" xfId="0" applyNumberFormat="1" applyFont="1" applyFill="1" applyBorder="1" applyAlignment="1">
      <alignment horizontal="center" vertical="center" wrapText="1"/>
    </xf>
    <xf numFmtId="43" fontId="14" fillId="65" borderId="12" xfId="0" applyNumberFormat="1" applyFont="1" applyFill="1" applyBorder="1" applyAlignment="1">
      <alignment horizontal="center" vertical="center" wrapText="1"/>
    </xf>
    <xf numFmtId="43" fontId="14" fillId="65" borderId="9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43" fontId="15" fillId="52" borderId="33" xfId="0" applyNumberFormat="1" applyFont="1" applyFill="1" applyBorder="1" applyAlignment="1">
      <alignment horizontal="center" vertical="center" wrapText="1"/>
    </xf>
    <xf numFmtId="43" fontId="14" fillId="52" borderId="18" xfId="0" applyNumberFormat="1" applyFont="1" applyFill="1" applyBorder="1" applyAlignment="1">
      <alignment horizontal="center" vertical="center" wrapText="1"/>
    </xf>
    <xf numFmtId="0" fontId="14" fillId="52" borderId="130" xfId="0" applyFont="1" applyFill="1" applyBorder="1" applyAlignment="1">
      <alignment horizontal="center" vertical="center" wrapText="1"/>
    </xf>
    <xf numFmtId="0" fontId="14" fillId="52" borderId="113" xfId="0" applyFont="1" applyFill="1" applyBorder="1" applyAlignment="1">
      <alignment horizontal="center" vertical="center" wrapText="1"/>
    </xf>
    <xf numFmtId="0" fontId="14" fillId="52" borderId="85" xfId="0" applyFont="1" applyFill="1" applyBorder="1" applyAlignment="1">
      <alignment horizontal="center" vertical="center" wrapText="1"/>
    </xf>
    <xf numFmtId="0" fontId="14" fillId="52" borderId="117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8" xfId="0" applyFont="1" applyFill="1" applyBorder="1" applyAlignment="1">
      <alignment horizontal="center" vertical="center" wrapText="1"/>
    </xf>
    <xf numFmtId="0" fontId="14" fillId="52" borderId="121" xfId="0" applyFont="1" applyFill="1" applyBorder="1" applyAlignment="1">
      <alignment horizontal="center" vertical="center" wrapText="1"/>
    </xf>
    <xf numFmtId="0" fontId="14" fillId="52" borderId="122" xfId="0" applyFont="1" applyFill="1" applyBorder="1" applyAlignment="1">
      <alignment horizontal="center" vertical="center" wrapText="1"/>
    </xf>
    <xf numFmtId="0" fontId="14" fillId="52" borderId="94" xfId="0" applyFont="1" applyFill="1" applyBorder="1" applyAlignment="1">
      <alignment horizontal="center" vertical="center" wrapText="1"/>
    </xf>
    <xf numFmtId="43" fontId="14" fillId="52" borderId="107" xfId="0" applyNumberFormat="1" applyFont="1" applyFill="1" applyBorder="1" applyAlignment="1">
      <alignment horizontal="center" vertical="center" wrapText="1"/>
    </xf>
    <xf numFmtId="43" fontId="14" fillId="52" borderId="103" xfId="0" applyNumberFormat="1" applyFont="1" applyFill="1" applyBorder="1" applyAlignment="1">
      <alignment horizontal="center" vertical="center" wrapText="1"/>
    </xf>
    <xf numFmtId="0" fontId="15" fillId="52" borderId="21" xfId="0" applyFont="1" applyFill="1" applyBorder="1" applyAlignment="1">
      <alignment horizontal="center" vertical="center" wrapText="1"/>
    </xf>
    <xf numFmtId="39" fontId="14" fillId="52" borderId="51" xfId="0" applyNumberFormat="1" applyFont="1" applyFill="1" applyBorder="1" applyAlignment="1">
      <alignment horizontal="center" vertical="center" wrapText="1"/>
    </xf>
    <xf numFmtId="39" fontId="14" fillId="52" borderId="52" xfId="0" applyNumberFormat="1" applyFont="1" applyFill="1" applyBorder="1" applyAlignment="1">
      <alignment horizontal="center" vertical="center" wrapText="1"/>
    </xf>
    <xf numFmtId="166" fontId="15" fillId="52" borderId="48" xfId="0" applyNumberFormat="1" applyFont="1" applyFill="1" applyBorder="1" applyAlignment="1">
      <alignment horizontal="center" vertical="center" wrapText="1"/>
    </xf>
    <xf numFmtId="166" fontId="15" fillId="52" borderId="49" xfId="0" applyNumberFormat="1" applyFont="1" applyFill="1" applyBorder="1" applyAlignment="1">
      <alignment horizontal="center" vertical="center" wrapText="1"/>
    </xf>
    <xf numFmtId="166" fontId="15" fillId="52" borderId="50" xfId="0" applyNumberFormat="1" applyFont="1" applyFill="1" applyBorder="1" applyAlignment="1">
      <alignment horizontal="center" vertical="center" wrapText="1"/>
    </xf>
    <xf numFmtId="39" fontId="14" fillId="52" borderId="107" xfId="0" applyNumberFormat="1" applyFont="1" applyFill="1" applyBorder="1" applyAlignment="1">
      <alignment horizontal="center" vertical="center" wrapText="1"/>
    </xf>
    <xf numFmtId="39" fontId="14" fillId="52" borderId="103" xfId="0" applyNumberFormat="1" applyFont="1" applyFill="1" applyBorder="1" applyAlignment="1">
      <alignment horizontal="center" vertical="center" wrapText="1"/>
    </xf>
    <xf numFmtId="0" fontId="15" fillId="64" borderId="33" xfId="0" applyFont="1" applyFill="1" applyBorder="1" applyAlignment="1">
      <alignment horizontal="center" vertical="center" wrapText="1"/>
    </xf>
    <xf numFmtId="0" fontId="15" fillId="52" borderId="33" xfId="0" applyFont="1" applyFill="1" applyBorder="1" applyAlignment="1">
      <alignment horizontal="center" vertical="center" wrapText="1"/>
    </xf>
    <xf numFmtId="0" fontId="14" fillId="52" borderId="17" xfId="0" applyFont="1" applyFill="1" applyBorder="1" applyAlignment="1">
      <alignment horizontal="center" vertical="center" wrapText="1"/>
    </xf>
    <xf numFmtId="0" fontId="14" fillId="52" borderId="24" xfId="0" applyFont="1" applyFill="1" applyBorder="1" applyAlignment="1">
      <alignment horizontal="center" vertical="center" wrapText="1"/>
    </xf>
    <xf numFmtId="0" fontId="14" fillId="52" borderId="39" xfId="0" applyFont="1" applyFill="1" applyBorder="1" applyAlignment="1">
      <alignment horizontal="center" vertical="center" wrapText="1"/>
    </xf>
    <xf numFmtId="0" fontId="14" fillId="52" borderId="28" xfId="0" applyFont="1" applyFill="1" applyBorder="1" applyAlignment="1">
      <alignment horizontal="center" vertical="center" wrapText="1"/>
    </xf>
    <xf numFmtId="0" fontId="14" fillId="52" borderId="29" xfId="0" applyFont="1" applyFill="1" applyBorder="1" applyAlignment="1">
      <alignment horizontal="center" vertical="center" wrapText="1"/>
    </xf>
    <xf numFmtId="0" fontId="15" fillId="52" borderId="37" xfId="0" applyFont="1" applyFill="1" applyBorder="1" applyAlignment="1">
      <alignment horizontal="center" vertical="center"/>
    </xf>
    <xf numFmtId="0" fontId="15" fillId="52" borderId="18" xfId="0" applyFont="1" applyFill="1" applyBorder="1" applyAlignment="1">
      <alignment horizontal="center" vertical="center"/>
    </xf>
    <xf numFmtId="43" fontId="14" fillId="63" borderId="21" xfId="0" applyNumberFormat="1" applyFont="1" applyFill="1" applyBorder="1" applyAlignment="1">
      <alignment horizontal="center" vertical="center" wrapText="1"/>
    </xf>
    <xf numFmtId="0" fontId="14" fillId="64" borderId="18" xfId="0" applyFont="1" applyFill="1" applyBorder="1" applyAlignment="1">
      <alignment horizontal="center" vertical="center" wrapText="1"/>
    </xf>
    <xf numFmtId="0" fontId="14" fillId="52" borderId="30" xfId="0" applyFont="1" applyFill="1" applyBorder="1" applyAlignment="1">
      <alignment horizontal="center" vertical="center" wrapText="1" shrinkToFit="1"/>
    </xf>
    <xf numFmtId="0" fontId="14" fillId="52" borderId="31" xfId="0" applyFont="1" applyFill="1" applyBorder="1" applyAlignment="1">
      <alignment horizontal="center" vertical="center" wrapText="1" shrinkToFit="1"/>
    </xf>
    <xf numFmtId="0" fontId="14" fillId="52" borderId="32" xfId="0" applyFont="1" applyFill="1" applyBorder="1" applyAlignment="1">
      <alignment horizontal="center" vertical="center" wrapText="1" shrinkToFit="1"/>
    </xf>
    <xf numFmtId="43" fontId="14" fillId="65" borderId="3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5" xfId="0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8" xfId="0" applyFont="1" applyFill="1" applyBorder="1" applyAlignment="1">
      <alignment horizontal="center" vertical="center"/>
    </xf>
    <xf numFmtId="0" fontId="39" fillId="2" borderId="145" xfId="0" applyFont="1" applyFill="1" applyBorder="1" applyAlignment="1">
      <alignment horizontal="center" vertical="center"/>
    </xf>
    <xf numFmtId="4" fontId="39" fillId="2" borderId="145" xfId="0" applyNumberFormat="1" applyFont="1" applyFill="1" applyBorder="1" applyAlignment="1">
      <alignment horizontal="right" vertical="center"/>
    </xf>
    <xf numFmtId="4" fontId="0" fillId="2" borderId="145" xfId="0" applyNumberFormat="1" applyFill="1" applyBorder="1" applyAlignment="1">
      <alignment horizontal="right" vertical="center"/>
    </xf>
    <xf numFmtId="0" fontId="0" fillId="2" borderId="144" xfId="0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5" fillId="67" borderId="145" xfId="3" applyFont="1" applyFill="1" applyBorder="1" applyAlignment="1">
      <alignment horizontal="center" vertical="center"/>
    </xf>
    <xf numFmtId="0" fontId="0" fillId="67" borderId="145" xfId="0" applyFill="1" applyBorder="1" applyAlignment="1">
      <alignment horizontal="center" vertical="center"/>
    </xf>
    <xf numFmtId="0" fontId="39" fillId="67" borderId="145" xfId="0" applyFont="1" applyFill="1" applyBorder="1" applyAlignment="1">
      <alignment horizontal="center" vertical="center"/>
    </xf>
    <xf numFmtId="4" fontId="39" fillId="67" borderId="145" xfId="0" applyNumberFormat="1" applyFont="1" applyFill="1" applyBorder="1" applyAlignment="1">
      <alignment horizontal="right" vertical="center"/>
    </xf>
    <xf numFmtId="4" fontId="0" fillId="67" borderId="145" xfId="0" applyNumberFormat="1" applyFill="1" applyBorder="1" applyAlignment="1">
      <alignment horizontal="right" vertical="center"/>
    </xf>
    <xf numFmtId="4" fontId="39" fillId="67" borderId="145" xfId="3" applyNumberFormat="1" applyFont="1" applyFill="1" applyBorder="1" applyAlignment="1">
      <alignment horizontal="right" vertical="center"/>
    </xf>
    <xf numFmtId="0" fontId="39" fillId="2" borderId="149" xfId="0" applyFont="1" applyFill="1" applyBorder="1" applyAlignment="1">
      <alignment horizontal="center" vertical="center"/>
    </xf>
    <xf numFmtId="0" fontId="39" fillId="52" borderId="145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4" fontId="39" fillId="2" borderId="149" xfId="0" applyNumberFormat="1" applyFont="1" applyFill="1" applyBorder="1" applyAlignment="1">
      <alignment horizontal="right" vertical="center"/>
    </xf>
    <xf numFmtId="4" fontId="0" fillId="2" borderId="149" xfId="0" applyNumberForma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right" wrapText="1"/>
    </xf>
    <xf numFmtId="0" fontId="23" fillId="0" borderId="0" xfId="0" applyFont="1" applyBorder="1" applyAlignment="1" applyProtection="1">
      <alignment horizontal="center" vertical="center" wrapText="1"/>
      <protection hidden="1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3F3"/>
      <color rgb="FFFFFFCC"/>
      <color rgb="FFEEDDFF"/>
      <color rgb="FFCDFFBD"/>
      <color rgb="FFEBF2DE"/>
      <color rgb="FFFFCCFF"/>
      <color rgb="FF660066"/>
      <color rgb="FFCC99FF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n\Budzet\FN-118\2012\Bud&#380;et\Projekt%20bud&#380;etu\Wieloletnia%20Prognoza%20Finansowa\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I149"/>
  <sheetViews>
    <sheetView zoomScale="50" zoomScaleNormal="50" zoomScaleSheetLayoutView="70" workbookViewId="0">
      <pane xSplit="3" ySplit="6" topLeftCell="U7" activePane="bottomRight" state="frozen"/>
      <selection activeCell="N51" sqref="N51"/>
      <selection pane="topRight" activeCell="N51" sqref="N51"/>
      <selection pane="bottomLeft" activeCell="N51" sqref="N51"/>
      <selection pane="bottomRight" activeCell="U1" sqref="U1:Z1"/>
    </sheetView>
  </sheetViews>
  <sheetFormatPr defaultColWidth="0" defaultRowHeight="12.75" zeroHeight="1"/>
  <cols>
    <col min="1" max="1" width="7.140625" style="12" customWidth="1"/>
    <col min="2" max="2" width="17.28515625" style="1" customWidth="1"/>
    <col min="3" max="3" width="112.85546875" style="4" customWidth="1"/>
    <col min="4" max="4" width="25.140625" style="4" hidden="1" customWidth="1"/>
    <col min="5" max="5" width="23.5703125" style="4" hidden="1" customWidth="1"/>
    <col min="6" max="6" width="23.7109375" style="6" hidden="1" customWidth="1"/>
    <col min="7" max="7" width="0.85546875" style="6" customWidth="1"/>
    <col min="8" max="8" width="40.5703125" style="1" customWidth="1"/>
    <col min="9" max="9" width="38.28515625" style="1" customWidth="1"/>
    <col min="10" max="10" width="41.140625" style="1" customWidth="1"/>
    <col min="11" max="11" width="40.28515625" style="1" customWidth="1"/>
    <col min="12" max="12" width="37.140625" style="1" customWidth="1"/>
    <col min="13" max="13" width="38.85546875" style="1" customWidth="1"/>
    <col min="14" max="14" width="38.28515625" style="1" customWidth="1"/>
    <col min="15" max="15" width="36.85546875" style="1" customWidth="1"/>
    <col min="16" max="16" width="38" style="1" customWidth="1"/>
    <col min="17" max="17" width="35.7109375" style="1" customWidth="1"/>
    <col min="18" max="18" width="36.28515625" style="1" customWidth="1"/>
    <col min="19" max="19" width="37.7109375" style="1" customWidth="1"/>
    <col min="20" max="20" width="39.140625" style="1" customWidth="1"/>
    <col min="21" max="21" width="38.5703125" style="1" customWidth="1"/>
    <col min="22" max="22" width="38.85546875" style="1" customWidth="1"/>
    <col min="23" max="23" width="37.140625" style="1" customWidth="1"/>
    <col min="24" max="25" width="31.140625" style="1" hidden="1" customWidth="1"/>
    <col min="26" max="26" width="37.42578125" style="1" hidden="1" customWidth="1"/>
    <col min="27" max="27" width="0.5703125" style="1" hidden="1" customWidth="1"/>
    <col min="28" max="33" width="19.7109375" style="1" hidden="1" customWidth="1"/>
    <col min="34" max="34" width="67.5703125" style="12" customWidth="1"/>
    <col min="35" max="35" width="0" style="7" hidden="1" customWidth="1"/>
    <col min="36" max="265" width="9.140625" style="7" hidden="1" customWidth="1"/>
    <col min="266" max="16384" width="9.140625" style="7" hidden="1"/>
  </cols>
  <sheetData>
    <row r="1" spans="1:34" ht="116.25" customHeight="1">
      <c r="R1" s="1160"/>
      <c r="S1" s="1160"/>
      <c r="T1" s="1160"/>
      <c r="U1" s="1158" t="s">
        <v>486</v>
      </c>
      <c r="V1" s="1159"/>
      <c r="W1" s="1159"/>
      <c r="X1" s="1159"/>
      <c r="Y1" s="1159"/>
      <c r="Z1" s="1159"/>
    </row>
    <row r="2" spans="1:34" s="43" customFormat="1" ht="50.25" customHeight="1">
      <c r="A2" s="42"/>
      <c r="B2" s="690"/>
      <c r="C2" s="691"/>
      <c r="D2" s="691"/>
      <c r="E2" s="691"/>
      <c r="F2" s="692"/>
      <c r="G2" s="692"/>
      <c r="H2" s="690"/>
      <c r="I2" s="690"/>
      <c r="J2" s="690"/>
      <c r="K2" s="690"/>
      <c r="L2" s="690"/>
      <c r="M2" s="690"/>
      <c r="N2" s="690"/>
      <c r="O2" s="1161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690"/>
      <c r="AC2" s="690"/>
      <c r="AD2" s="690"/>
      <c r="AE2" s="690"/>
      <c r="AF2" s="690"/>
      <c r="AG2" s="690"/>
      <c r="AH2" s="42"/>
    </row>
    <row r="3" spans="1:34" s="811" customFormat="1" ht="35.25" customHeight="1">
      <c r="A3" s="808"/>
      <c r="B3" s="809"/>
      <c r="C3" s="1166" t="s">
        <v>0</v>
      </c>
      <c r="D3" s="1167" t="s">
        <v>344</v>
      </c>
      <c r="E3" s="1167" t="s">
        <v>344</v>
      </c>
      <c r="F3" s="1167" t="s">
        <v>97</v>
      </c>
      <c r="G3" s="1178" t="s">
        <v>358</v>
      </c>
      <c r="H3" s="1168" t="s">
        <v>348</v>
      </c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169"/>
      <c r="AC3" s="1169"/>
      <c r="AD3" s="1169"/>
      <c r="AE3" s="1169"/>
      <c r="AF3" s="1169"/>
      <c r="AG3" s="1170"/>
      <c r="AH3" s="810"/>
    </row>
    <row r="4" spans="1:34" s="811" customFormat="1" ht="24" customHeight="1">
      <c r="A4" s="808"/>
      <c r="B4" s="812"/>
      <c r="C4" s="1166"/>
      <c r="D4" s="1167"/>
      <c r="E4" s="1167"/>
      <c r="F4" s="1167"/>
      <c r="G4" s="1178"/>
      <c r="H4" s="1171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3"/>
      <c r="AH4" s="813"/>
    </row>
    <row r="5" spans="1:34" s="811" customFormat="1" ht="12" customHeight="1">
      <c r="A5" s="808"/>
      <c r="B5" s="814"/>
      <c r="C5" s="1166"/>
      <c r="D5" s="1167"/>
      <c r="E5" s="1167"/>
      <c r="F5" s="1167"/>
      <c r="G5" s="1178"/>
      <c r="H5" s="1174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5"/>
      <c r="Y5" s="1175"/>
      <c r="Z5" s="1175"/>
      <c r="AA5" s="1175"/>
      <c r="AB5" s="1175"/>
      <c r="AC5" s="1175"/>
      <c r="AD5" s="1175"/>
      <c r="AE5" s="1175"/>
      <c r="AF5" s="1175"/>
      <c r="AG5" s="1176"/>
      <c r="AH5" s="813"/>
    </row>
    <row r="6" spans="1:34" s="43" customFormat="1" ht="51.75" customHeight="1">
      <c r="A6" s="911"/>
      <c r="B6" s="912"/>
      <c r="C6" s="913"/>
      <c r="D6" s="913">
        <v>2009</v>
      </c>
      <c r="E6" s="913">
        <v>2010</v>
      </c>
      <c r="F6" s="914">
        <v>2011</v>
      </c>
      <c r="G6" s="914">
        <v>2011</v>
      </c>
      <c r="H6" s="915" t="s">
        <v>439</v>
      </c>
      <c r="I6" s="915">
        <v>2013</v>
      </c>
      <c r="J6" s="915">
        <f t="shared" ref="J6:AG6" si="0">I6+1</f>
        <v>2014</v>
      </c>
      <c r="K6" s="915">
        <f t="shared" si="0"/>
        <v>2015</v>
      </c>
      <c r="L6" s="915">
        <f t="shared" si="0"/>
        <v>2016</v>
      </c>
      <c r="M6" s="915">
        <f t="shared" si="0"/>
        <v>2017</v>
      </c>
      <c r="N6" s="915">
        <f t="shared" si="0"/>
        <v>2018</v>
      </c>
      <c r="O6" s="915">
        <f t="shared" si="0"/>
        <v>2019</v>
      </c>
      <c r="P6" s="915">
        <f t="shared" si="0"/>
        <v>2020</v>
      </c>
      <c r="Q6" s="915">
        <f t="shared" si="0"/>
        <v>2021</v>
      </c>
      <c r="R6" s="915">
        <f t="shared" si="0"/>
        <v>2022</v>
      </c>
      <c r="S6" s="915">
        <f t="shared" si="0"/>
        <v>2023</v>
      </c>
      <c r="T6" s="915">
        <f t="shared" si="0"/>
        <v>2024</v>
      </c>
      <c r="U6" s="915">
        <f>T6+1</f>
        <v>2025</v>
      </c>
      <c r="V6" s="915">
        <f t="shared" ref="V6" si="1">U6+1</f>
        <v>2026</v>
      </c>
      <c r="W6" s="915">
        <f>V6+1</f>
        <v>2027</v>
      </c>
      <c r="X6" s="791">
        <f t="shared" ref="X6" si="2">W6+1</f>
        <v>2028</v>
      </c>
      <c r="Y6" s="791">
        <f>X6+1</f>
        <v>2029</v>
      </c>
      <c r="Z6" s="791">
        <f>Y6+1</f>
        <v>2030</v>
      </c>
      <c r="AB6" s="697">
        <f>U6+1</f>
        <v>2026</v>
      </c>
      <c r="AC6" s="697">
        <f t="shared" si="0"/>
        <v>2027</v>
      </c>
      <c r="AD6" s="697">
        <f t="shared" si="0"/>
        <v>2028</v>
      </c>
      <c r="AE6" s="697">
        <f t="shared" si="0"/>
        <v>2029</v>
      </c>
      <c r="AF6" s="697">
        <f t="shared" si="0"/>
        <v>2030</v>
      </c>
      <c r="AG6" s="697">
        <f t="shared" si="0"/>
        <v>2031</v>
      </c>
      <c r="AH6" s="42"/>
    </row>
    <row r="7" spans="1:34" s="44" customFormat="1" ht="27" thickBot="1">
      <c r="A7" s="911"/>
      <c r="B7" s="916"/>
      <c r="C7" s="917"/>
      <c r="D7" s="917"/>
      <c r="E7" s="917"/>
      <c r="F7" s="918"/>
      <c r="G7" s="918"/>
      <c r="H7" s="919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698"/>
      <c r="Y7" s="698"/>
      <c r="Z7" s="792"/>
      <c r="AB7" s="698"/>
      <c r="AC7" s="698"/>
      <c r="AD7" s="698"/>
      <c r="AE7" s="698"/>
      <c r="AF7" s="698"/>
      <c r="AG7" s="698"/>
      <c r="AH7" s="42"/>
    </row>
    <row r="8" spans="1:34" s="41" customFormat="1" ht="60" customHeight="1" thickTop="1">
      <c r="A8" s="920"/>
      <c r="B8" s="921" t="s">
        <v>35</v>
      </c>
      <c r="C8" s="922" t="s">
        <v>40</v>
      </c>
      <c r="D8" s="923">
        <f t="shared" ref="D8:E8" si="3">D12+D24</f>
        <v>131693409.28</v>
      </c>
      <c r="E8" s="923">
        <f t="shared" si="3"/>
        <v>134567387.50999999</v>
      </c>
      <c r="F8" s="924">
        <f t="shared" ref="F8:AG8" si="4">F12+F24</f>
        <v>156826657</v>
      </c>
      <c r="G8" s="924">
        <f t="shared" ref="G8" si="5">G12+G24</f>
        <v>150620109.74000001</v>
      </c>
      <c r="H8" s="925">
        <f t="shared" si="4"/>
        <v>165709149.59</v>
      </c>
      <c r="I8" s="926">
        <f t="shared" si="4"/>
        <v>209929240</v>
      </c>
      <c r="J8" s="923">
        <f t="shared" si="4"/>
        <v>208947156.42000002</v>
      </c>
      <c r="K8" s="923">
        <f t="shared" si="4"/>
        <v>177500000</v>
      </c>
      <c r="L8" s="923">
        <f t="shared" si="4"/>
        <v>181100000</v>
      </c>
      <c r="M8" s="923">
        <f t="shared" si="4"/>
        <v>185600000</v>
      </c>
      <c r="N8" s="923">
        <f t="shared" si="4"/>
        <v>191100000</v>
      </c>
      <c r="O8" s="923">
        <f>O12+O24</f>
        <v>193700000</v>
      </c>
      <c r="P8" s="923">
        <f t="shared" si="4"/>
        <v>197400000</v>
      </c>
      <c r="Q8" s="923">
        <f t="shared" si="4"/>
        <v>201200000</v>
      </c>
      <c r="R8" s="923">
        <f t="shared" si="4"/>
        <v>204000000</v>
      </c>
      <c r="S8" s="923">
        <f t="shared" si="4"/>
        <v>204900000</v>
      </c>
      <c r="T8" s="923">
        <f t="shared" si="4"/>
        <v>204900000</v>
      </c>
      <c r="U8" s="923">
        <f t="shared" ref="U8:Z8" si="6">U12+U24</f>
        <v>203900000</v>
      </c>
      <c r="V8" s="923">
        <f t="shared" si="6"/>
        <v>203900000</v>
      </c>
      <c r="W8" s="923">
        <f t="shared" si="6"/>
        <v>203900000</v>
      </c>
      <c r="X8" s="699">
        <f t="shared" si="6"/>
        <v>199200000</v>
      </c>
      <c r="Y8" s="699">
        <f t="shared" si="6"/>
        <v>199200000</v>
      </c>
      <c r="Z8" s="699">
        <f t="shared" si="6"/>
        <v>199200000</v>
      </c>
      <c r="AB8" s="699">
        <f t="shared" si="4"/>
        <v>210900000</v>
      </c>
      <c r="AC8" s="699">
        <f t="shared" si="4"/>
        <v>214000000</v>
      </c>
      <c r="AD8" s="699">
        <f t="shared" si="4"/>
        <v>218200000</v>
      </c>
      <c r="AE8" s="699">
        <f t="shared" si="4"/>
        <v>221500000</v>
      </c>
      <c r="AF8" s="699">
        <f t="shared" si="4"/>
        <v>225900000</v>
      </c>
      <c r="AG8" s="699">
        <f t="shared" si="4"/>
        <v>230400000</v>
      </c>
      <c r="AH8" s="40"/>
    </row>
    <row r="9" spans="1:34" s="41" customFormat="1" ht="54" customHeight="1">
      <c r="A9" s="920"/>
      <c r="B9" s="921" t="s">
        <v>36</v>
      </c>
      <c r="C9" s="927" t="s">
        <v>41</v>
      </c>
      <c r="D9" s="928">
        <f t="shared" ref="D9:E9" si="7">D13+D26</f>
        <v>137052342.58000001</v>
      </c>
      <c r="E9" s="928">
        <f t="shared" si="7"/>
        <v>144296202.38</v>
      </c>
      <c r="F9" s="929">
        <f t="shared" ref="F9:AG9" si="8">F13+F26</f>
        <v>163224190</v>
      </c>
      <c r="G9" s="929">
        <f t="shared" ref="G9" si="9">G13+G26</f>
        <v>157223801.72999999</v>
      </c>
      <c r="H9" s="930">
        <f t="shared" si="8"/>
        <v>168284340.59</v>
      </c>
      <c r="I9" s="931">
        <f t="shared" si="8"/>
        <v>223035691</v>
      </c>
      <c r="J9" s="928">
        <f t="shared" si="8"/>
        <v>213543717.42000002</v>
      </c>
      <c r="K9" s="928">
        <f t="shared" si="8"/>
        <v>172548467</v>
      </c>
      <c r="L9" s="928">
        <f t="shared" si="8"/>
        <v>173127286</v>
      </c>
      <c r="M9" s="928">
        <f t="shared" si="8"/>
        <v>177900000</v>
      </c>
      <c r="N9" s="928">
        <f t="shared" si="8"/>
        <v>183300000</v>
      </c>
      <c r="O9" s="928">
        <f t="shared" si="8"/>
        <v>185800000</v>
      </c>
      <c r="P9" s="928">
        <f t="shared" si="8"/>
        <v>190324754</v>
      </c>
      <c r="Q9" s="928">
        <f t="shared" si="8"/>
        <v>195181352</v>
      </c>
      <c r="R9" s="928">
        <f t="shared" si="8"/>
        <v>197400000</v>
      </c>
      <c r="S9" s="928">
        <f t="shared" si="8"/>
        <v>202229165</v>
      </c>
      <c r="T9" s="928">
        <f t="shared" si="8"/>
        <v>201857101</v>
      </c>
      <c r="U9" s="928">
        <f t="shared" ref="U9:Z9" si="10">U13+U26</f>
        <v>202125596</v>
      </c>
      <c r="V9" s="928">
        <f t="shared" si="10"/>
        <v>202746154</v>
      </c>
      <c r="W9" s="928">
        <f t="shared" si="10"/>
        <v>202746154</v>
      </c>
      <c r="X9" s="700">
        <f t="shared" si="10"/>
        <v>203686216</v>
      </c>
      <c r="Y9" s="700">
        <f t="shared" si="10"/>
        <v>203686216</v>
      </c>
      <c r="Z9" s="700">
        <f t="shared" si="10"/>
        <v>204193205</v>
      </c>
      <c r="AB9" s="700">
        <f t="shared" si="8"/>
        <v>212100000</v>
      </c>
      <c r="AC9" s="700">
        <f t="shared" si="8"/>
        <v>215300000</v>
      </c>
      <c r="AD9" s="700">
        <f t="shared" si="8"/>
        <v>219500000</v>
      </c>
      <c r="AE9" s="700">
        <f t="shared" si="8"/>
        <v>222800000</v>
      </c>
      <c r="AF9" s="700">
        <f t="shared" si="8"/>
        <v>227200000</v>
      </c>
      <c r="AG9" s="700">
        <f t="shared" si="8"/>
        <v>231700000</v>
      </c>
      <c r="AH9" s="40"/>
    </row>
    <row r="10" spans="1:34" s="41" customFormat="1" ht="44.25" customHeight="1" thickBot="1">
      <c r="A10" s="920"/>
      <c r="B10" s="932" t="s">
        <v>37</v>
      </c>
      <c r="C10" s="933" t="s">
        <v>42</v>
      </c>
      <c r="D10" s="934">
        <f>D8-D9</f>
        <v>-5358933.3000000119</v>
      </c>
      <c r="E10" s="934">
        <f>E8-E9</f>
        <v>-9728814.8700000048</v>
      </c>
      <c r="F10" s="935">
        <f>F8-F9</f>
        <v>-6397533</v>
      </c>
      <c r="G10" s="935">
        <f>G8-G9</f>
        <v>-6603691.9899999797</v>
      </c>
      <c r="H10" s="936">
        <f t="shared" ref="H10:AG10" si="11">H8-H9</f>
        <v>-2575191</v>
      </c>
      <c r="I10" s="937">
        <f t="shared" si="11"/>
        <v>-13106451</v>
      </c>
      <c r="J10" s="934">
        <f t="shared" si="11"/>
        <v>-4596561</v>
      </c>
      <c r="K10" s="934">
        <f t="shared" si="11"/>
        <v>4951533</v>
      </c>
      <c r="L10" s="934">
        <f t="shared" si="11"/>
        <v>7972714</v>
      </c>
      <c r="M10" s="934">
        <f t="shared" si="11"/>
        <v>7700000</v>
      </c>
      <c r="N10" s="934">
        <f t="shared" si="11"/>
        <v>7800000</v>
      </c>
      <c r="O10" s="934">
        <f t="shared" si="11"/>
        <v>7900000</v>
      </c>
      <c r="P10" s="934">
        <f t="shared" si="11"/>
        <v>7075246</v>
      </c>
      <c r="Q10" s="934">
        <f t="shared" si="11"/>
        <v>6018648</v>
      </c>
      <c r="R10" s="934">
        <f t="shared" si="11"/>
        <v>6600000</v>
      </c>
      <c r="S10" s="934">
        <f t="shared" si="11"/>
        <v>2670835</v>
      </c>
      <c r="T10" s="934">
        <f t="shared" si="11"/>
        <v>3042899</v>
      </c>
      <c r="U10" s="934">
        <f t="shared" ref="U10:Z10" si="12">U8-U9</f>
        <v>1774404</v>
      </c>
      <c r="V10" s="934">
        <f t="shared" si="12"/>
        <v>1153846</v>
      </c>
      <c r="W10" s="934">
        <f t="shared" si="12"/>
        <v>1153846</v>
      </c>
      <c r="X10" s="701">
        <f t="shared" si="12"/>
        <v>-4486216</v>
      </c>
      <c r="Y10" s="701">
        <f t="shared" si="12"/>
        <v>-4486216</v>
      </c>
      <c r="Z10" s="701">
        <f t="shared" si="12"/>
        <v>-4993205</v>
      </c>
      <c r="AB10" s="701">
        <f t="shared" si="11"/>
        <v>-1200000</v>
      </c>
      <c r="AC10" s="701">
        <f t="shared" si="11"/>
        <v>-1300000</v>
      </c>
      <c r="AD10" s="701">
        <f t="shared" si="11"/>
        <v>-1300000</v>
      </c>
      <c r="AE10" s="701">
        <f t="shared" si="11"/>
        <v>-1300000</v>
      </c>
      <c r="AF10" s="701">
        <f t="shared" si="11"/>
        <v>-1300000</v>
      </c>
      <c r="AG10" s="701">
        <f t="shared" si="11"/>
        <v>-1300000</v>
      </c>
      <c r="AH10" s="40"/>
    </row>
    <row r="11" spans="1:34" s="8" customFormat="1" ht="9.9499999999999993" customHeight="1" thickTop="1" thickBot="1">
      <c r="A11" s="938"/>
      <c r="B11" s="939"/>
      <c r="C11" s="940"/>
      <c r="D11" s="941"/>
      <c r="E11" s="941"/>
      <c r="F11" s="918"/>
      <c r="G11" s="918"/>
      <c r="H11" s="942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  <c r="V11" s="943"/>
      <c r="W11" s="943"/>
      <c r="X11" s="702"/>
      <c r="Y11" s="702"/>
      <c r="Z11" s="798"/>
      <c r="AA11" s="12"/>
      <c r="AB11" s="702"/>
      <c r="AC11" s="702"/>
      <c r="AD11" s="702"/>
      <c r="AE11" s="702"/>
      <c r="AF11" s="702"/>
      <c r="AG11" s="702"/>
      <c r="AH11" s="12"/>
    </row>
    <row r="12" spans="1:34" s="9" customFormat="1" ht="59.25" customHeight="1" thickTop="1">
      <c r="A12" s="944"/>
      <c r="B12" s="945" t="s">
        <v>17</v>
      </c>
      <c r="C12" s="946" t="s">
        <v>102</v>
      </c>
      <c r="D12" s="947">
        <v>124970449.63</v>
      </c>
      <c r="E12" s="947">
        <v>129769143.02</v>
      </c>
      <c r="F12" s="948">
        <v>139617113</v>
      </c>
      <c r="G12" s="948">
        <v>141122144.84</v>
      </c>
      <c r="H12" s="949">
        <v>146442106.59</v>
      </c>
      <c r="I12" s="950">
        <v>167373806</v>
      </c>
      <c r="J12" s="951">
        <v>168500000</v>
      </c>
      <c r="K12" s="951">
        <v>171000000</v>
      </c>
      <c r="L12" s="951">
        <v>174400000</v>
      </c>
      <c r="M12" s="951">
        <v>179600000</v>
      </c>
      <c r="N12" s="951">
        <v>183100000</v>
      </c>
      <c r="O12" s="951">
        <v>186700000</v>
      </c>
      <c r="P12" s="951">
        <v>190400000</v>
      </c>
      <c r="Q12" s="951">
        <v>194200000</v>
      </c>
      <c r="R12" s="951">
        <v>198000000</v>
      </c>
      <c r="S12" s="951">
        <v>201900000</v>
      </c>
      <c r="T12" s="951">
        <v>201900000</v>
      </c>
      <c r="U12" s="951">
        <v>201900000</v>
      </c>
      <c r="V12" s="951">
        <v>201900000</v>
      </c>
      <c r="W12" s="951">
        <v>201900000</v>
      </c>
      <c r="X12" s="703">
        <f t="shared" ref="X12:Z12" si="13">195700000+1500000</f>
        <v>197200000</v>
      </c>
      <c r="Y12" s="703">
        <f t="shared" si="13"/>
        <v>197200000</v>
      </c>
      <c r="Z12" s="703">
        <f t="shared" si="13"/>
        <v>197200000</v>
      </c>
      <c r="AB12" s="703">
        <f>ROUND((U12+U12*2%),-5)</f>
        <v>205900000</v>
      </c>
      <c r="AC12" s="703">
        <f t="shared" ref="AC12" si="14">ROUND((AB12+AB12*2%),-5)</f>
        <v>210000000</v>
      </c>
      <c r="AD12" s="703">
        <f t="shared" ref="AD12" si="15">ROUND((AC12+AC12*2%),-5)</f>
        <v>214200000</v>
      </c>
      <c r="AE12" s="703">
        <f t="shared" ref="AE12" si="16">ROUND((AD12+AD12*2%),-5)</f>
        <v>218500000</v>
      </c>
      <c r="AF12" s="703">
        <f t="shared" ref="AF12" si="17">ROUND((AE12+AE12*2%),-5)</f>
        <v>222900000</v>
      </c>
      <c r="AG12" s="703">
        <f t="shared" ref="AG12" si="18">ROUND((AF12+AF12*2%),-5)</f>
        <v>227400000</v>
      </c>
    </row>
    <row r="13" spans="1:34" s="9" customFormat="1" ht="52.5" customHeight="1">
      <c r="A13" s="944"/>
      <c r="B13" s="952" t="s">
        <v>18</v>
      </c>
      <c r="C13" s="953" t="s">
        <v>103</v>
      </c>
      <c r="D13" s="954">
        <v>126798813.76000001</v>
      </c>
      <c r="E13" s="954">
        <v>135215206.53999999</v>
      </c>
      <c r="F13" s="955">
        <v>139835646</v>
      </c>
      <c r="G13" s="955">
        <v>137382072.84999999</v>
      </c>
      <c r="H13" s="956">
        <v>145486896.59</v>
      </c>
      <c r="I13" s="957">
        <v>166253916</v>
      </c>
      <c r="J13" s="958">
        <v>159000000</v>
      </c>
      <c r="K13" s="958">
        <v>162100000</v>
      </c>
      <c r="L13" s="958">
        <v>166900000</v>
      </c>
      <c r="M13" s="958">
        <v>171900000</v>
      </c>
      <c r="N13" s="958">
        <v>175300000</v>
      </c>
      <c r="O13" s="958">
        <v>178800000</v>
      </c>
      <c r="P13" s="958">
        <v>184100000</v>
      </c>
      <c r="Q13" s="958">
        <v>187700000</v>
      </c>
      <c r="R13" s="958">
        <v>191400000</v>
      </c>
      <c r="S13" s="958">
        <v>195200000</v>
      </c>
      <c r="T13" s="958">
        <v>197100000</v>
      </c>
      <c r="U13" s="958">
        <v>199000000</v>
      </c>
      <c r="V13" s="958">
        <v>200100000</v>
      </c>
      <c r="W13" s="958">
        <v>200100000</v>
      </c>
      <c r="X13" s="704">
        <f>ROUND((W13+W13*0%),-5)</f>
        <v>200100000</v>
      </c>
      <c r="Y13" s="704">
        <f>ROUND((X13+X13*0%),-5)</f>
        <v>200100000</v>
      </c>
      <c r="Z13" s="704">
        <f>ROUND((Y13+Y13*0.5%),-5)</f>
        <v>201100000</v>
      </c>
      <c r="AB13" s="704">
        <f>ROUND((U13+U13*2.05%),-5)</f>
        <v>203100000</v>
      </c>
      <c r="AC13" s="704">
        <f t="shared" ref="AC13:AG13" si="19">ROUND((AB13+AB13*2.05%),-5)</f>
        <v>207300000</v>
      </c>
      <c r="AD13" s="704">
        <f t="shared" si="19"/>
        <v>211500000</v>
      </c>
      <c r="AE13" s="704">
        <f t="shared" si="19"/>
        <v>215800000</v>
      </c>
      <c r="AF13" s="704">
        <f t="shared" si="19"/>
        <v>220200000</v>
      </c>
      <c r="AG13" s="704">
        <f t="shared" si="19"/>
        <v>224700000</v>
      </c>
      <c r="AH13" s="13"/>
    </row>
    <row r="14" spans="1:34" s="9" customFormat="1" ht="35.25" customHeight="1">
      <c r="A14" s="944"/>
      <c r="B14" s="959" t="s">
        <v>19</v>
      </c>
      <c r="C14" s="960" t="s">
        <v>28</v>
      </c>
      <c r="D14" s="961"/>
      <c r="E14" s="961"/>
      <c r="F14" s="962">
        <v>67396083</v>
      </c>
      <c r="G14" s="962">
        <v>66257619.869999997</v>
      </c>
      <c r="H14" s="963">
        <v>66701283</v>
      </c>
      <c r="I14" s="961">
        <v>65485268</v>
      </c>
      <c r="J14" s="964">
        <f t="shared" ref="J14:S14" si="20">INT(I14+(I14*3%))</f>
        <v>67449826</v>
      </c>
      <c r="K14" s="964">
        <f t="shared" si="20"/>
        <v>69473320</v>
      </c>
      <c r="L14" s="964">
        <f t="shared" si="20"/>
        <v>71557519</v>
      </c>
      <c r="M14" s="964">
        <f t="shared" si="20"/>
        <v>73704244</v>
      </c>
      <c r="N14" s="964">
        <f t="shared" si="20"/>
        <v>75915371</v>
      </c>
      <c r="O14" s="964">
        <f t="shared" si="20"/>
        <v>78192832</v>
      </c>
      <c r="P14" s="964">
        <f t="shared" si="20"/>
        <v>80538616</v>
      </c>
      <c r="Q14" s="964">
        <f t="shared" si="20"/>
        <v>82954774</v>
      </c>
      <c r="R14" s="964">
        <f t="shared" si="20"/>
        <v>85443417</v>
      </c>
      <c r="S14" s="964">
        <f t="shared" si="20"/>
        <v>88006719</v>
      </c>
      <c r="T14" s="965">
        <f t="shared" ref="T14:AG14" si="21">INT(S14+(S14*1%))</f>
        <v>88886786</v>
      </c>
      <c r="U14" s="965">
        <f t="shared" ref="U14:Z16" si="22">INT(T14+(T14*1%))</f>
        <v>89775653</v>
      </c>
      <c r="V14" s="965">
        <f t="shared" si="22"/>
        <v>90673409</v>
      </c>
      <c r="W14" s="965">
        <f t="shared" si="22"/>
        <v>91580143</v>
      </c>
      <c r="X14" s="707">
        <f t="shared" si="22"/>
        <v>92495944</v>
      </c>
      <c r="Y14" s="707">
        <f t="shared" si="22"/>
        <v>93420903</v>
      </c>
      <c r="Z14" s="707">
        <f t="shared" si="22"/>
        <v>94355112</v>
      </c>
      <c r="AB14" s="707">
        <f>INT(U14+(U14*1%))</f>
        <v>90673409</v>
      </c>
      <c r="AC14" s="707">
        <f t="shared" si="21"/>
        <v>91580143</v>
      </c>
      <c r="AD14" s="707">
        <f t="shared" si="21"/>
        <v>92495944</v>
      </c>
      <c r="AE14" s="707">
        <f t="shared" si="21"/>
        <v>93420903</v>
      </c>
      <c r="AF14" s="707">
        <f t="shared" si="21"/>
        <v>94355112</v>
      </c>
      <c r="AG14" s="707">
        <f t="shared" si="21"/>
        <v>95298663</v>
      </c>
      <c r="AH14" s="13"/>
    </row>
    <row r="15" spans="1:34" s="9" customFormat="1" ht="30.75" customHeight="1">
      <c r="A15" s="944"/>
      <c r="B15" s="959" t="s">
        <v>20</v>
      </c>
      <c r="C15" s="960" t="s">
        <v>27</v>
      </c>
      <c r="D15" s="961"/>
      <c r="E15" s="961"/>
      <c r="F15" s="962">
        <v>11467793</v>
      </c>
      <c r="G15" s="962">
        <v>11349535.460000001</v>
      </c>
      <c r="H15" s="963">
        <v>12272472</v>
      </c>
      <c r="I15" s="961">
        <v>13039166</v>
      </c>
      <c r="J15" s="964">
        <f t="shared" ref="J15:S15" si="23">INT(I15+(I15*3%))</f>
        <v>13430340</v>
      </c>
      <c r="K15" s="964">
        <f t="shared" si="23"/>
        <v>13833250</v>
      </c>
      <c r="L15" s="964">
        <f t="shared" si="23"/>
        <v>14248247</v>
      </c>
      <c r="M15" s="964">
        <f t="shared" si="23"/>
        <v>14675694</v>
      </c>
      <c r="N15" s="964">
        <f t="shared" si="23"/>
        <v>15115964</v>
      </c>
      <c r="O15" s="964">
        <f t="shared" si="23"/>
        <v>15569442</v>
      </c>
      <c r="P15" s="964">
        <f t="shared" si="23"/>
        <v>16036525</v>
      </c>
      <c r="Q15" s="964">
        <f t="shared" si="23"/>
        <v>16517620</v>
      </c>
      <c r="R15" s="964">
        <f t="shared" si="23"/>
        <v>17013148</v>
      </c>
      <c r="S15" s="964">
        <f t="shared" si="23"/>
        <v>17523542</v>
      </c>
      <c r="T15" s="965">
        <f t="shared" ref="T15:AG15" si="24">INT(S15+(S15*1%))</f>
        <v>17698777</v>
      </c>
      <c r="U15" s="965">
        <f t="shared" si="22"/>
        <v>17875764</v>
      </c>
      <c r="V15" s="965">
        <f t="shared" si="22"/>
        <v>18054521</v>
      </c>
      <c r="W15" s="965">
        <f t="shared" si="22"/>
        <v>18235066</v>
      </c>
      <c r="X15" s="707">
        <f t="shared" si="22"/>
        <v>18417416</v>
      </c>
      <c r="Y15" s="707">
        <f t="shared" si="22"/>
        <v>18601590</v>
      </c>
      <c r="Z15" s="707">
        <f t="shared" si="22"/>
        <v>18787605</v>
      </c>
      <c r="AB15" s="707">
        <f>INT(U15+(U15*1%))</f>
        <v>18054521</v>
      </c>
      <c r="AC15" s="707">
        <f t="shared" si="24"/>
        <v>18235066</v>
      </c>
      <c r="AD15" s="707">
        <f t="shared" si="24"/>
        <v>18417416</v>
      </c>
      <c r="AE15" s="707">
        <f t="shared" si="24"/>
        <v>18601590</v>
      </c>
      <c r="AF15" s="707">
        <f t="shared" si="24"/>
        <v>18787605</v>
      </c>
      <c r="AG15" s="707">
        <f t="shared" si="24"/>
        <v>18975481</v>
      </c>
      <c r="AH15" s="13"/>
    </row>
    <row r="16" spans="1:34" s="10" customFormat="1" ht="77.25" customHeight="1">
      <c r="A16" s="944"/>
      <c r="B16" s="959" t="s">
        <v>77</v>
      </c>
      <c r="C16" s="966" t="s">
        <v>78</v>
      </c>
      <c r="D16" s="967"/>
      <c r="E16" s="967"/>
      <c r="F16" s="962">
        <v>8103300</v>
      </c>
      <c r="G16" s="962">
        <v>8132962.0800000001</v>
      </c>
      <c r="H16" s="963">
        <v>9213900</v>
      </c>
      <c r="I16" s="961">
        <v>9934500</v>
      </c>
      <c r="J16" s="964">
        <f t="shared" ref="J16:S16" si="25">INT(I16+(I16*3%))</f>
        <v>10232535</v>
      </c>
      <c r="K16" s="964">
        <f t="shared" si="25"/>
        <v>10539511</v>
      </c>
      <c r="L16" s="964">
        <f t="shared" si="25"/>
        <v>10855696</v>
      </c>
      <c r="M16" s="964">
        <f t="shared" si="25"/>
        <v>11181366</v>
      </c>
      <c r="N16" s="964">
        <f t="shared" si="25"/>
        <v>11516806</v>
      </c>
      <c r="O16" s="964">
        <f t="shared" si="25"/>
        <v>11862310</v>
      </c>
      <c r="P16" s="964">
        <f t="shared" si="25"/>
        <v>12218179</v>
      </c>
      <c r="Q16" s="964">
        <f t="shared" si="25"/>
        <v>12584724</v>
      </c>
      <c r="R16" s="964">
        <f t="shared" si="25"/>
        <v>12962265</v>
      </c>
      <c r="S16" s="964">
        <f t="shared" si="25"/>
        <v>13351132</v>
      </c>
      <c r="T16" s="965">
        <f t="shared" ref="T16:AG16" si="26">INT(S16+(S16*1%))</f>
        <v>13484643</v>
      </c>
      <c r="U16" s="965">
        <f t="shared" si="22"/>
        <v>13619489</v>
      </c>
      <c r="V16" s="965">
        <f t="shared" si="22"/>
        <v>13755683</v>
      </c>
      <c r="W16" s="965">
        <f t="shared" si="22"/>
        <v>13893239</v>
      </c>
      <c r="X16" s="707">
        <f t="shared" si="22"/>
        <v>14032171</v>
      </c>
      <c r="Y16" s="707">
        <f t="shared" si="22"/>
        <v>14172492</v>
      </c>
      <c r="Z16" s="707">
        <f t="shared" si="22"/>
        <v>14314216</v>
      </c>
      <c r="AB16" s="707">
        <f>INT(U16+(U16*1%))</f>
        <v>13755683</v>
      </c>
      <c r="AC16" s="707">
        <f t="shared" si="26"/>
        <v>13893239</v>
      </c>
      <c r="AD16" s="707">
        <f t="shared" si="26"/>
        <v>14032171</v>
      </c>
      <c r="AE16" s="707">
        <f t="shared" si="26"/>
        <v>14172492</v>
      </c>
      <c r="AF16" s="707">
        <f t="shared" si="26"/>
        <v>14314216</v>
      </c>
      <c r="AG16" s="707">
        <f t="shared" si="26"/>
        <v>14457358</v>
      </c>
      <c r="AH16" s="14"/>
    </row>
    <row r="17" spans="1:34" s="9" customFormat="1" ht="57" customHeight="1">
      <c r="A17" s="944"/>
      <c r="B17" s="959" t="s">
        <v>21</v>
      </c>
      <c r="C17" s="960" t="s">
        <v>470</v>
      </c>
      <c r="D17" s="961"/>
      <c r="E17" s="961"/>
      <c r="F17" s="962">
        <v>1727147</v>
      </c>
      <c r="G17" s="968">
        <v>1494404.23</v>
      </c>
      <c r="H17" s="963">
        <v>7155315.1200000001</v>
      </c>
      <c r="I17" s="963">
        <f>'Przeds bieżace  styczeń 2013 '!P296</f>
        <v>16012151.860000001</v>
      </c>
      <c r="J17" s="963">
        <f>'Przeds bieżace  styczeń 2013 '!Q296</f>
        <v>9094495.0199999996</v>
      </c>
      <c r="K17" s="963">
        <f>'Przeds bieżace  styczeń 2013 '!R296</f>
        <v>2516563.5499999998</v>
      </c>
      <c r="L17" s="963">
        <f>'Przeds bieżace  styczeń 2013 '!S296</f>
        <v>2159095.14</v>
      </c>
      <c r="M17" s="963">
        <f>'Przeds bieżace  styczeń 2013 '!T296</f>
        <v>1769903.5899999999</v>
      </c>
      <c r="N17" s="963">
        <f>'Przeds bieżace  styczeń 2013 '!U296</f>
        <v>944428.13</v>
      </c>
      <c r="O17" s="963">
        <f>'Przeds bieżace  styczeń 2013 '!V296</f>
        <v>898204.96</v>
      </c>
      <c r="P17" s="963">
        <f>'Przeds bieżace  styczeń 2013 '!W296</f>
        <v>852319.45</v>
      </c>
      <c r="Q17" s="963">
        <f>'Przeds bieżace  styczeń 2013 '!X296</f>
        <v>805758.55</v>
      </c>
      <c r="R17" s="963">
        <f>'Przeds bieżace  styczeń 2013 '!Y296</f>
        <v>573967.35</v>
      </c>
      <c r="S17" s="963">
        <f>'Przeds bieżace  styczeń 2013 '!Z296</f>
        <v>0</v>
      </c>
      <c r="T17" s="963">
        <f>'Przeds bieżace  styczeń 2013 '!AA296</f>
        <v>0</v>
      </c>
      <c r="U17" s="963">
        <f>'Przeds bieżace  styczeń 2013 '!AB296</f>
        <v>0</v>
      </c>
      <c r="V17" s="965"/>
      <c r="W17" s="965"/>
      <c r="X17" s="707"/>
      <c r="Y17" s="707"/>
      <c r="Z17" s="707"/>
      <c r="AB17" s="707"/>
      <c r="AC17" s="707"/>
      <c r="AD17" s="707"/>
      <c r="AE17" s="707"/>
      <c r="AF17" s="707"/>
      <c r="AG17" s="707"/>
      <c r="AH17" s="13"/>
    </row>
    <row r="18" spans="1:34" s="41" customFormat="1" ht="30" customHeight="1">
      <c r="A18" s="920"/>
      <c r="B18" s="969" t="s">
        <v>22</v>
      </c>
      <c r="C18" s="970" t="s">
        <v>79</v>
      </c>
      <c r="D18" s="971"/>
      <c r="E18" s="971"/>
      <c r="F18" s="972">
        <f>SUM(F19)</f>
        <v>3405000</v>
      </c>
      <c r="G18" s="972">
        <f>SUM(G19)</f>
        <v>2464011.77</v>
      </c>
      <c r="H18" s="973">
        <f>H19</f>
        <v>3277566</v>
      </c>
      <c r="I18" s="974">
        <f t="shared" ref="I18:T18" si="27">I19</f>
        <v>3246163.76</v>
      </c>
      <c r="J18" s="975">
        <f t="shared" si="27"/>
        <v>3579819.76</v>
      </c>
      <c r="K18" s="975">
        <f t="shared" si="27"/>
        <v>3579819.76</v>
      </c>
      <c r="L18" s="975">
        <f t="shared" si="27"/>
        <v>3579819.76</v>
      </c>
      <c r="M18" s="975">
        <f t="shared" si="27"/>
        <v>3578819.76</v>
      </c>
      <c r="N18" s="975">
        <f t="shared" si="27"/>
        <v>3577819.76</v>
      </c>
      <c r="O18" s="975">
        <f t="shared" si="27"/>
        <v>3576819.76</v>
      </c>
      <c r="P18" s="975">
        <f t="shared" si="27"/>
        <v>3420876.76</v>
      </c>
      <c r="Q18" s="975">
        <f t="shared" si="27"/>
        <v>2460772</v>
      </c>
      <c r="R18" s="975">
        <f t="shared" si="27"/>
        <v>788000</v>
      </c>
      <c r="S18" s="975">
        <f t="shared" si="27"/>
        <v>122000</v>
      </c>
      <c r="T18" s="975">
        <f t="shared" si="27"/>
        <v>0</v>
      </c>
      <c r="U18" s="975">
        <f t="shared" ref="U18:Z18" si="28">U19</f>
        <v>0</v>
      </c>
      <c r="V18" s="975">
        <f t="shared" si="28"/>
        <v>0</v>
      </c>
      <c r="W18" s="975">
        <f t="shared" si="28"/>
        <v>0</v>
      </c>
      <c r="X18" s="708">
        <f t="shared" si="28"/>
        <v>0</v>
      </c>
      <c r="Y18" s="708">
        <f t="shared" si="28"/>
        <v>0</v>
      </c>
      <c r="Z18" s="708">
        <f t="shared" si="28"/>
        <v>0</v>
      </c>
      <c r="AB18" s="706"/>
      <c r="AC18" s="706"/>
      <c r="AD18" s="706"/>
      <c r="AE18" s="706"/>
      <c r="AF18" s="706"/>
      <c r="AG18" s="706"/>
      <c r="AH18" s="40"/>
    </row>
    <row r="19" spans="1:34" s="10" customFormat="1" ht="126" customHeight="1">
      <c r="A19" s="944"/>
      <c r="B19" s="959" t="s">
        <v>23</v>
      </c>
      <c r="C19" s="966" t="s">
        <v>98</v>
      </c>
      <c r="D19" s="967"/>
      <c r="E19" s="967"/>
      <c r="F19" s="962">
        <v>3405000</v>
      </c>
      <c r="G19" s="962">
        <v>2464011.77</v>
      </c>
      <c r="H19" s="976">
        <v>3277566</v>
      </c>
      <c r="I19" s="976">
        <f>'Przeds Poręczenia'!Q87</f>
        <v>3246163.76</v>
      </c>
      <c r="J19" s="976">
        <f>'Przeds Poręczenia'!R87</f>
        <v>3579819.76</v>
      </c>
      <c r="K19" s="976">
        <f>'Przeds Poręczenia'!S87</f>
        <v>3579819.76</v>
      </c>
      <c r="L19" s="976">
        <f>'Przeds Poręczenia'!T87</f>
        <v>3579819.76</v>
      </c>
      <c r="M19" s="976">
        <f>'Przeds Poręczenia'!U87</f>
        <v>3578819.76</v>
      </c>
      <c r="N19" s="976">
        <f>'Przeds Poręczenia'!V87</f>
        <v>3577819.76</v>
      </c>
      <c r="O19" s="976">
        <f>'Przeds Poręczenia'!W87</f>
        <v>3576819.76</v>
      </c>
      <c r="P19" s="976">
        <f>'Przeds Poręczenia'!X87</f>
        <v>3420876.76</v>
      </c>
      <c r="Q19" s="976">
        <f>'Przeds Poręczenia'!Y87</f>
        <v>2460772</v>
      </c>
      <c r="R19" s="976">
        <f>'Przeds Poręczenia'!Z87</f>
        <v>788000</v>
      </c>
      <c r="S19" s="976">
        <f>'Przeds Poręczenia'!AA87</f>
        <v>122000</v>
      </c>
      <c r="T19" s="964">
        <f>'poreczenia nieaktualne'!AB96</f>
        <v>0</v>
      </c>
      <c r="U19" s="964">
        <f>'poreczenia nieaktualne'!AC96</f>
        <v>0</v>
      </c>
      <c r="V19" s="964">
        <f>'poreczenia nieaktualne'!AD96</f>
        <v>0</v>
      </c>
      <c r="W19" s="964">
        <f>'poreczenia nieaktualne'!AE96</f>
        <v>0</v>
      </c>
      <c r="X19" s="706">
        <f>'poreczenia nieaktualne'!AF96</f>
        <v>0</v>
      </c>
      <c r="Y19" s="706">
        <f>'poreczenia nieaktualne'!AG96</f>
        <v>0</v>
      </c>
      <c r="Z19" s="706">
        <f>'poreczenia nieaktualne'!AH96</f>
        <v>0</v>
      </c>
      <c r="AB19" s="707"/>
      <c r="AC19" s="707"/>
      <c r="AD19" s="707"/>
      <c r="AE19" s="707"/>
      <c r="AF19" s="707"/>
      <c r="AG19" s="707"/>
      <c r="AH19" s="803"/>
    </row>
    <row r="20" spans="1:34" s="41" customFormat="1" ht="40.5" customHeight="1" thickBot="1">
      <c r="A20" s="920"/>
      <c r="B20" s="969" t="s">
        <v>24</v>
      </c>
      <c r="C20" s="970" t="s">
        <v>80</v>
      </c>
      <c r="D20" s="971"/>
      <c r="E20" s="971"/>
      <c r="F20" s="972">
        <v>1915800</v>
      </c>
      <c r="G20" s="972">
        <v>2146148.5499999998</v>
      </c>
      <c r="H20" s="977">
        <f>'Planowane spłaty zobowiązań'!F39</f>
        <v>2173467</v>
      </c>
      <c r="I20" s="978">
        <f>'Planowane spłaty zobowiązań'!G39</f>
        <v>2980913</v>
      </c>
      <c r="J20" s="979">
        <f>'Planowane spłaty zobowiązań'!H39</f>
        <v>3414159</v>
      </c>
      <c r="K20" s="979">
        <f>'Planowane spłaty zobowiązań'!I39</f>
        <v>3342705</v>
      </c>
      <c r="L20" s="979">
        <f>'Planowane spłaty zobowiązań'!J39</f>
        <v>3033833</v>
      </c>
      <c r="M20" s="979">
        <f>'Planowane spłaty zobowiązań'!K39</f>
        <v>2691869</v>
      </c>
      <c r="N20" s="979">
        <f>'Planowane spłaty zobowiązań'!L39</f>
        <v>2263234</v>
      </c>
      <c r="O20" s="979">
        <f>'Planowane spłaty zobowiązań'!M39</f>
        <v>1885856</v>
      </c>
      <c r="P20" s="979">
        <f>'Planowane spłaty zobowiązań'!N39</f>
        <v>1441789</v>
      </c>
      <c r="Q20" s="979">
        <f>'Planowane spłaty zobowiązań'!O39</f>
        <v>1051026</v>
      </c>
      <c r="R20" s="979">
        <f>'Planowane spłaty zobowiązań'!P39</f>
        <v>757297</v>
      </c>
      <c r="S20" s="979">
        <f>'Planowane spłaty zobowiązań'!Q39</f>
        <v>462199</v>
      </c>
      <c r="T20" s="979">
        <f>'Planowane spłaty zobowiązań'!R39</f>
        <v>329431</v>
      </c>
      <c r="U20" s="979">
        <f>'Planowane spłaty zobowiązań'!S39</f>
        <v>183703</v>
      </c>
      <c r="V20" s="979">
        <f>'Planowane spłaty zobowiązań'!T39</f>
        <v>95143</v>
      </c>
      <c r="W20" s="979">
        <f>'Planowane spłaty zobowiązań'!U39</f>
        <v>48632</v>
      </c>
      <c r="X20" s="709">
        <f>'Planowane spłaty zobowiązań'!V39</f>
        <v>0</v>
      </c>
      <c r="Y20" s="709">
        <f>'Planowane spłaty zobowiązań'!W39</f>
        <v>0</v>
      </c>
      <c r="Z20" s="709">
        <f>'Planowane spłaty zobowiązań'!X39</f>
        <v>0</v>
      </c>
      <c r="AB20" s="706"/>
      <c r="AC20" s="706"/>
      <c r="AD20" s="706"/>
      <c r="AE20" s="706"/>
      <c r="AF20" s="706"/>
      <c r="AG20" s="706"/>
      <c r="AH20" s="40"/>
    </row>
    <row r="21" spans="1:34" s="3" customFormat="1" ht="37.5" customHeight="1" thickTop="1" thickBot="1">
      <c r="A21" s="944"/>
      <c r="B21" s="959" t="s">
        <v>455</v>
      </c>
      <c r="C21" s="980" t="s">
        <v>464</v>
      </c>
      <c r="D21" s="981"/>
      <c r="E21" s="981"/>
      <c r="F21" s="981"/>
      <c r="G21" s="981"/>
      <c r="H21" s="982">
        <v>2260000</v>
      </c>
      <c r="I21" s="982">
        <f>737691+1400530+1175544+542309</f>
        <v>3856074</v>
      </c>
      <c r="J21" s="982">
        <f>1129320.94+1308084.08+774321</f>
        <v>3211726.02</v>
      </c>
      <c r="K21" s="982">
        <f>203713+1214505.81+1083097.74</f>
        <v>2501316.5499999998</v>
      </c>
      <c r="L21" s="982">
        <f>1037718.8+1121376.34</f>
        <v>2159095.14</v>
      </c>
      <c r="M21" s="982">
        <f>779252.23+990651.36</f>
        <v>1769903.5899999999</v>
      </c>
      <c r="N21" s="982">
        <f>944428.13</f>
        <v>944428.13</v>
      </c>
      <c r="O21" s="982">
        <v>898204.96</v>
      </c>
      <c r="P21" s="982">
        <v>852319.45</v>
      </c>
      <c r="Q21" s="982">
        <v>805758.55</v>
      </c>
      <c r="R21" s="982">
        <v>573967.35</v>
      </c>
      <c r="S21" s="982"/>
      <c r="T21" s="982"/>
      <c r="U21" s="982"/>
      <c r="V21" s="982"/>
      <c r="W21" s="982"/>
      <c r="X21" s="711"/>
      <c r="Y21" s="711"/>
      <c r="Z21" s="712"/>
      <c r="AA21" s="13"/>
      <c r="AB21" s="711"/>
      <c r="AC21" s="711"/>
      <c r="AD21" s="711"/>
      <c r="AE21" s="711"/>
      <c r="AF21" s="711"/>
      <c r="AG21" s="711"/>
      <c r="AH21" s="13"/>
    </row>
    <row r="22" spans="1:34" s="9" customFormat="1" ht="69" customHeight="1" thickTop="1" thickBot="1">
      <c r="A22" s="944"/>
      <c r="B22" s="983" t="s">
        <v>25</v>
      </c>
      <c r="C22" s="984" t="s">
        <v>26</v>
      </c>
      <c r="D22" s="985">
        <f t="shared" ref="D22:E22" si="29">D12-D13</f>
        <v>-1828364.1300000101</v>
      </c>
      <c r="E22" s="985">
        <f t="shared" si="29"/>
        <v>-5446063.5199999958</v>
      </c>
      <c r="F22" s="986">
        <f>F12-F13</f>
        <v>-218533</v>
      </c>
      <c r="G22" s="986">
        <f>G12-G13</f>
        <v>3740071.9900000095</v>
      </c>
      <c r="H22" s="987">
        <f t="shared" ref="H22:AG22" si="30">H12-H13</f>
        <v>955210</v>
      </c>
      <c r="I22" s="988">
        <f t="shared" si="30"/>
        <v>1119890</v>
      </c>
      <c r="J22" s="985">
        <f t="shared" si="30"/>
        <v>9500000</v>
      </c>
      <c r="K22" s="985">
        <f t="shared" si="30"/>
        <v>8900000</v>
      </c>
      <c r="L22" s="985">
        <f t="shared" si="30"/>
        <v>7500000</v>
      </c>
      <c r="M22" s="985">
        <f t="shared" si="30"/>
        <v>7700000</v>
      </c>
      <c r="N22" s="985">
        <f t="shared" si="30"/>
        <v>7800000</v>
      </c>
      <c r="O22" s="985">
        <f t="shared" si="30"/>
        <v>7900000</v>
      </c>
      <c r="P22" s="985">
        <f t="shared" si="30"/>
        <v>6300000</v>
      </c>
      <c r="Q22" s="985">
        <f t="shared" si="30"/>
        <v>6500000</v>
      </c>
      <c r="R22" s="985">
        <f t="shared" si="30"/>
        <v>6600000</v>
      </c>
      <c r="S22" s="985">
        <f t="shared" si="30"/>
        <v>6700000</v>
      </c>
      <c r="T22" s="985">
        <f t="shared" si="30"/>
        <v>4800000</v>
      </c>
      <c r="U22" s="985">
        <f t="shared" ref="U22:Z22" si="31">U12-U13</f>
        <v>2900000</v>
      </c>
      <c r="V22" s="985">
        <f t="shared" si="31"/>
        <v>1800000</v>
      </c>
      <c r="W22" s="985">
        <f t="shared" si="31"/>
        <v>1800000</v>
      </c>
      <c r="X22" s="713">
        <f t="shared" si="31"/>
        <v>-2900000</v>
      </c>
      <c r="Y22" s="713">
        <f t="shared" si="31"/>
        <v>-2900000</v>
      </c>
      <c r="Z22" s="713">
        <f t="shared" si="31"/>
        <v>-3900000</v>
      </c>
      <c r="AA22" s="13"/>
      <c r="AB22" s="714">
        <f t="shared" si="30"/>
        <v>2800000</v>
      </c>
      <c r="AC22" s="713">
        <f t="shared" si="30"/>
        <v>2700000</v>
      </c>
      <c r="AD22" s="713">
        <f t="shared" si="30"/>
        <v>2700000</v>
      </c>
      <c r="AE22" s="713">
        <f t="shared" si="30"/>
        <v>2700000</v>
      </c>
      <c r="AF22" s="713">
        <f t="shared" si="30"/>
        <v>2700000</v>
      </c>
      <c r="AG22" s="713">
        <f t="shared" si="30"/>
        <v>2700000</v>
      </c>
      <c r="AH22" s="13"/>
    </row>
    <row r="23" spans="1:34" s="2" customFormat="1" ht="9.9499999999999993" customHeight="1" thickTop="1" thickBot="1">
      <c r="A23" s="944"/>
      <c r="B23" s="989"/>
      <c r="C23" s="990"/>
      <c r="D23" s="991"/>
      <c r="E23" s="991"/>
      <c r="F23" s="991"/>
      <c r="G23" s="991"/>
      <c r="H23" s="992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715"/>
      <c r="Y23" s="715"/>
      <c r="Z23" s="720"/>
      <c r="AA23" s="13"/>
      <c r="AB23" s="715"/>
      <c r="AC23" s="715"/>
      <c r="AD23" s="715"/>
      <c r="AE23" s="715"/>
      <c r="AF23" s="715"/>
      <c r="AG23" s="715"/>
      <c r="AH23" s="13"/>
    </row>
    <row r="24" spans="1:34" s="2" customFormat="1" ht="54" customHeight="1" thickTop="1">
      <c r="A24" s="944"/>
      <c r="B24" s="993" t="s">
        <v>29</v>
      </c>
      <c r="C24" s="994" t="s">
        <v>30</v>
      </c>
      <c r="D24" s="995">
        <v>6722959.6500000004</v>
      </c>
      <c r="E24" s="995">
        <v>4798244.49</v>
      </c>
      <c r="F24" s="996">
        <v>17209544</v>
      </c>
      <c r="G24" s="996">
        <v>9497964.9000000004</v>
      </c>
      <c r="H24" s="997">
        <v>19267043</v>
      </c>
      <c r="I24" s="995">
        <f>41977934+577500</f>
        <v>42555434</v>
      </c>
      <c r="J24" s="998">
        <f>J25+29223098.42+1174058</f>
        <v>40447156.420000002</v>
      </c>
      <c r="K24" s="998">
        <v>6500000</v>
      </c>
      <c r="L24" s="998">
        <v>6700000</v>
      </c>
      <c r="M24" s="998">
        <f>6000000</f>
        <v>6000000</v>
      </c>
      <c r="N24" s="998">
        <f>8000000</f>
        <v>8000000</v>
      </c>
      <c r="O24" s="998">
        <v>7000000</v>
      </c>
      <c r="P24" s="998">
        <v>7000000</v>
      </c>
      <c r="Q24" s="998">
        <v>7000000</v>
      </c>
      <c r="R24" s="998">
        <v>6000000</v>
      </c>
      <c r="S24" s="998">
        <v>3000000</v>
      </c>
      <c r="T24" s="998">
        <v>3000000</v>
      </c>
      <c r="U24" s="998">
        <v>2000000</v>
      </c>
      <c r="V24" s="998">
        <v>2000000</v>
      </c>
      <c r="W24" s="998">
        <v>2000000</v>
      </c>
      <c r="X24" s="717">
        <v>2000000</v>
      </c>
      <c r="Y24" s="717">
        <v>2000000</v>
      </c>
      <c r="Z24" s="717">
        <v>2000000</v>
      </c>
      <c r="AA24" s="13"/>
      <c r="AB24" s="716">
        <v>5000000</v>
      </c>
      <c r="AC24" s="717">
        <v>4000000</v>
      </c>
      <c r="AD24" s="717">
        <v>4000000</v>
      </c>
      <c r="AE24" s="717">
        <v>3000000</v>
      </c>
      <c r="AF24" s="717">
        <v>3000000</v>
      </c>
      <c r="AG24" s="717">
        <v>3000000</v>
      </c>
      <c r="AH24" s="13"/>
    </row>
    <row r="25" spans="1:34" s="9" customFormat="1" ht="39" customHeight="1">
      <c r="A25" s="944"/>
      <c r="B25" s="999" t="s">
        <v>31</v>
      </c>
      <c r="C25" s="1000" t="s">
        <v>87</v>
      </c>
      <c r="D25" s="1001">
        <v>5454979.4699999997</v>
      </c>
      <c r="E25" s="1001">
        <v>4633721.28</v>
      </c>
      <c r="F25" s="1002">
        <v>9371315</v>
      </c>
      <c r="G25" s="1002">
        <v>3915577.63</v>
      </c>
      <c r="H25" s="1003">
        <v>9900000</v>
      </c>
      <c r="I25" s="1004">
        <v>14500000</v>
      </c>
      <c r="J25" s="1005">
        <v>10050000</v>
      </c>
      <c r="K25" s="1005">
        <v>5500000</v>
      </c>
      <c r="L25" s="1005">
        <v>6700000</v>
      </c>
      <c r="M25" s="1005">
        <v>5600000</v>
      </c>
      <c r="N25" s="1005">
        <v>6100000</v>
      </c>
      <c r="O25" s="1005">
        <v>5500000</v>
      </c>
      <c r="P25" s="1005">
        <v>4000000</v>
      </c>
      <c r="Q25" s="1005">
        <v>4000000</v>
      </c>
      <c r="R25" s="1005">
        <v>3000000</v>
      </c>
      <c r="S25" s="1005">
        <v>3000000</v>
      </c>
      <c r="T25" s="1005">
        <v>3000000</v>
      </c>
      <c r="U25" s="1005">
        <v>2000000</v>
      </c>
      <c r="V25" s="1005">
        <v>2000000</v>
      </c>
      <c r="W25" s="1005">
        <v>2000000</v>
      </c>
      <c r="X25" s="718">
        <v>2000000</v>
      </c>
      <c r="Y25" s="718">
        <v>2000000</v>
      </c>
      <c r="Z25" s="718">
        <v>2000000</v>
      </c>
      <c r="AB25" s="718">
        <v>2000000</v>
      </c>
      <c r="AC25" s="718">
        <v>1000000</v>
      </c>
      <c r="AD25" s="718">
        <v>1000000</v>
      </c>
      <c r="AE25" s="718">
        <v>0</v>
      </c>
      <c r="AF25" s="718">
        <v>0</v>
      </c>
      <c r="AG25" s="718">
        <v>0</v>
      </c>
      <c r="AH25" s="13"/>
    </row>
    <row r="26" spans="1:34" s="9" customFormat="1" ht="36.75" customHeight="1">
      <c r="A26" s="944"/>
      <c r="B26" s="1006" t="s">
        <v>32</v>
      </c>
      <c r="C26" s="1007" t="s">
        <v>38</v>
      </c>
      <c r="D26" s="1008">
        <v>10253528.82</v>
      </c>
      <c r="E26" s="1008">
        <v>9080995.8399999999</v>
      </c>
      <c r="F26" s="1009">
        <v>23388544</v>
      </c>
      <c r="G26" s="1009">
        <v>19841728.879999999</v>
      </c>
      <c r="H26" s="1010">
        <v>22797444</v>
      </c>
      <c r="I26" s="1008">
        <f>56204275+577500</f>
        <v>56781775</v>
      </c>
      <c r="J26" s="1011">
        <f>J27</f>
        <v>54543717.420000002</v>
      </c>
      <c r="K26" s="1011">
        <f>K27+5898642.53</f>
        <v>10448467</v>
      </c>
      <c r="L26" s="1011">
        <f>L27+6223386</f>
        <v>6227286</v>
      </c>
      <c r="M26" s="1011">
        <v>6000000</v>
      </c>
      <c r="N26" s="1011">
        <f>8000000</f>
        <v>8000000</v>
      </c>
      <c r="O26" s="1011">
        <f>7000000</f>
        <v>7000000</v>
      </c>
      <c r="P26" s="1011">
        <v>6224754</v>
      </c>
      <c r="Q26" s="1011">
        <v>7481352</v>
      </c>
      <c r="R26" s="1011">
        <v>6000000</v>
      </c>
      <c r="S26" s="1011">
        <f>5000000+2029165</f>
        <v>7029165</v>
      </c>
      <c r="T26" s="1011">
        <f>3000000+1757101</f>
        <v>4757101</v>
      </c>
      <c r="U26" s="1011">
        <f>2000000+1125596</f>
        <v>3125596</v>
      </c>
      <c r="V26" s="1011">
        <f>2000000+646154</f>
        <v>2646154</v>
      </c>
      <c r="W26" s="1011">
        <f>2000000+646154</f>
        <v>2646154</v>
      </c>
      <c r="X26" s="719">
        <v>3586216</v>
      </c>
      <c r="Y26" s="719">
        <v>3586216</v>
      </c>
      <c r="Z26" s="719">
        <v>3093205</v>
      </c>
      <c r="AB26" s="719">
        <v>9000000</v>
      </c>
      <c r="AC26" s="719">
        <v>8000000</v>
      </c>
      <c r="AD26" s="719">
        <v>8000000</v>
      </c>
      <c r="AE26" s="719">
        <v>7000000</v>
      </c>
      <c r="AF26" s="719">
        <v>7000000</v>
      </c>
      <c r="AG26" s="719">
        <v>7000000</v>
      </c>
      <c r="AH26" s="13"/>
    </row>
    <row r="27" spans="1:34" s="9" customFormat="1" ht="56.25" customHeight="1" thickBot="1">
      <c r="A27" s="944"/>
      <c r="B27" s="959" t="s">
        <v>33</v>
      </c>
      <c r="C27" s="960" t="s">
        <v>471</v>
      </c>
      <c r="D27" s="1012"/>
      <c r="E27" s="1012"/>
      <c r="F27" s="1013">
        <v>8349676</v>
      </c>
      <c r="G27" s="1014">
        <v>6121555.7800000003</v>
      </c>
      <c r="H27" s="1015">
        <v>9202897</v>
      </c>
      <c r="I27" s="1015">
        <f>'Przeds maj styczeń 2013'!P250</f>
        <v>50551775</v>
      </c>
      <c r="J27" s="1015">
        <f>'Przeds maj styczeń 2013'!Q250</f>
        <v>54543717.420000002</v>
      </c>
      <c r="K27" s="1015">
        <f>'Przeds maj styczeń 2013'!R250</f>
        <v>4549824.47</v>
      </c>
      <c r="L27" s="1015">
        <f>'Przeds maj styczeń 2013'!S250</f>
        <v>3900</v>
      </c>
      <c r="M27" s="1015">
        <f>'Przeds maj styczeń 2013'!T250</f>
        <v>0</v>
      </c>
      <c r="N27" s="1015">
        <f>'Przeds maj styczeń 2013'!U250</f>
        <v>0</v>
      </c>
      <c r="O27" s="1015">
        <f>'Przeds maj styczeń 2013'!U250</f>
        <v>0</v>
      </c>
      <c r="P27" s="965"/>
      <c r="Q27" s="965"/>
      <c r="R27" s="965"/>
      <c r="S27" s="965"/>
      <c r="T27" s="1012"/>
      <c r="U27" s="965"/>
      <c r="V27" s="965"/>
      <c r="W27" s="965"/>
      <c r="X27" s="707"/>
      <c r="Y27" s="707"/>
      <c r="Z27" s="707"/>
      <c r="AB27" s="707"/>
      <c r="AC27" s="707"/>
      <c r="AD27" s="707"/>
      <c r="AE27" s="707"/>
      <c r="AF27" s="707"/>
      <c r="AG27" s="707"/>
      <c r="AH27" s="13"/>
    </row>
    <row r="28" spans="1:34" s="5" customFormat="1" ht="9.9499999999999993" customHeight="1" thickTop="1" thickBot="1">
      <c r="A28" s="944"/>
      <c r="B28" s="989"/>
      <c r="C28" s="980"/>
      <c r="D28" s="991"/>
      <c r="E28" s="991"/>
      <c r="F28" s="991"/>
      <c r="G28" s="991"/>
      <c r="H28" s="992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91"/>
      <c r="U28" s="991"/>
      <c r="V28" s="991"/>
      <c r="W28" s="991"/>
      <c r="X28" s="715"/>
      <c r="Y28" s="715"/>
      <c r="Z28" s="720"/>
      <c r="AA28" s="13"/>
      <c r="AB28" s="715"/>
      <c r="AC28" s="715"/>
      <c r="AD28" s="715"/>
      <c r="AE28" s="715"/>
      <c r="AF28" s="715"/>
      <c r="AG28" s="715"/>
      <c r="AH28" s="13"/>
    </row>
    <row r="29" spans="1:34" s="9" customFormat="1" ht="36" customHeight="1" thickTop="1" thickBot="1">
      <c r="A29" s="944"/>
      <c r="B29" s="1016" t="s">
        <v>34</v>
      </c>
      <c r="C29" s="1017" t="s">
        <v>39</v>
      </c>
      <c r="D29" s="1018">
        <f t="shared" ref="D29:E29" si="32">D24-D26</f>
        <v>-3530569.17</v>
      </c>
      <c r="E29" s="1018">
        <f t="shared" si="32"/>
        <v>-4282751.3499999996</v>
      </c>
      <c r="F29" s="1019">
        <f>F24-F26</f>
        <v>-6179000</v>
      </c>
      <c r="G29" s="1019">
        <f>G24-G26</f>
        <v>-10343763.979999999</v>
      </c>
      <c r="H29" s="1020">
        <f t="shared" ref="H29:K29" si="33">H24-H26</f>
        <v>-3530401</v>
      </c>
      <c r="I29" s="1021">
        <f t="shared" si="33"/>
        <v>-14226341</v>
      </c>
      <c r="J29" s="1018">
        <f t="shared" si="33"/>
        <v>-14096561</v>
      </c>
      <c r="K29" s="1018">
        <f t="shared" si="33"/>
        <v>-3948467</v>
      </c>
      <c r="L29" s="1018">
        <f t="shared" ref="L29:AG29" si="34">L24-L26</f>
        <v>472714</v>
      </c>
      <c r="M29" s="1018">
        <f t="shared" si="34"/>
        <v>0</v>
      </c>
      <c r="N29" s="1018">
        <f t="shared" si="34"/>
        <v>0</v>
      </c>
      <c r="O29" s="1018">
        <f t="shared" si="34"/>
        <v>0</v>
      </c>
      <c r="P29" s="1018">
        <f t="shared" si="34"/>
        <v>775246</v>
      </c>
      <c r="Q29" s="1018">
        <f t="shared" si="34"/>
        <v>-481352</v>
      </c>
      <c r="R29" s="1018">
        <f t="shared" si="34"/>
        <v>0</v>
      </c>
      <c r="S29" s="1018">
        <f t="shared" si="34"/>
        <v>-4029165</v>
      </c>
      <c r="T29" s="1018">
        <f t="shared" si="34"/>
        <v>-1757101</v>
      </c>
      <c r="U29" s="1018">
        <f t="shared" ref="U29:Z29" si="35">U24-U26</f>
        <v>-1125596</v>
      </c>
      <c r="V29" s="1018">
        <f t="shared" si="35"/>
        <v>-646154</v>
      </c>
      <c r="W29" s="1018">
        <f t="shared" si="35"/>
        <v>-646154</v>
      </c>
      <c r="X29" s="721">
        <f t="shared" si="35"/>
        <v>-1586216</v>
      </c>
      <c r="Y29" s="721">
        <f t="shared" si="35"/>
        <v>-1586216</v>
      </c>
      <c r="Z29" s="721">
        <f t="shared" si="35"/>
        <v>-1093205</v>
      </c>
      <c r="AA29" s="13"/>
      <c r="AB29" s="722">
        <f t="shared" si="34"/>
        <v>-4000000</v>
      </c>
      <c r="AC29" s="721">
        <f t="shared" si="34"/>
        <v>-4000000</v>
      </c>
      <c r="AD29" s="721">
        <f t="shared" si="34"/>
        <v>-4000000</v>
      </c>
      <c r="AE29" s="721">
        <f t="shared" si="34"/>
        <v>-4000000</v>
      </c>
      <c r="AF29" s="721">
        <f t="shared" si="34"/>
        <v>-4000000</v>
      </c>
      <c r="AG29" s="721">
        <f t="shared" si="34"/>
        <v>-4000000</v>
      </c>
      <c r="AH29" s="13"/>
    </row>
    <row r="30" spans="1:34" s="5" customFormat="1" ht="18" customHeight="1" thickTop="1" thickBot="1">
      <c r="A30" s="944"/>
      <c r="B30" s="989"/>
      <c r="C30" s="990"/>
      <c r="D30" s="1022"/>
      <c r="E30" s="991"/>
      <c r="F30" s="991"/>
      <c r="G30" s="991"/>
      <c r="H30" s="992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715"/>
      <c r="Y30" s="715"/>
      <c r="Z30" s="720"/>
      <c r="AA30" s="13"/>
      <c r="AB30" s="715"/>
      <c r="AC30" s="715"/>
      <c r="AD30" s="715"/>
      <c r="AE30" s="715"/>
      <c r="AF30" s="715"/>
      <c r="AG30" s="715"/>
      <c r="AH30" s="13"/>
    </row>
    <row r="31" spans="1:34" s="9" customFormat="1" ht="65.25" customHeight="1" thickTop="1">
      <c r="A31" s="944"/>
      <c r="B31" s="1023" t="s">
        <v>81</v>
      </c>
      <c r="C31" s="1024" t="s">
        <v>89</v>
      </c>
      <c r="D31" s="1025">
        <f t="shared" ref="D31:E31" si="36">SUM(D32:D37)</f>
        <v>9156416</v>
      </c>
      <c r="E31" s="1025">
        <f t="shared" si="36"/>
        <v>13674409</v>
      </c>
      <c r="F31" s="1026">
        <f>SUM(F32:F37)</f>
        <v>6397533</v>
      </c>
      <c r="G31" s="1026">
        <f>SUM(G32:G37)</f>
        <v>6603691.9899999993</v>
      </c>
      <c r="H31" s="1027">
        <f t="shared" ref="H31:AG31" si="37">SUM(H32:H37)</f>
        <v>2575191</v>
      </c>
      <c r="I31" s="1028">
        <f t="shared" si="37"/>
        <v>13106451</v>
      </c>
      <c r="J31" s="1025">
        <f t="shared" si="37"/>
        <v>4596561</v>
      </c>
      <c r="K31" s="1025">
        <f t="shared" si="37"/>
        <v>0</v>
      </c>
      <c r="L31" s="1025">
        <f t="shared" si="37"/>
        <v>0</v>
      </c>
      <c r="M31" s="1025">
        <f t="shared" si="37"/>
        <v>0</v>
      </c>
      <c r="N31" s="1025">
        <f t="shared" si="37"/>
        <v>0</v>
      </c>
      <c r="O31" s="1025">
        <f t="shared" si="37"/>
        <v>0</v>
      </c>
      <c r="P31" s="1025">
        <f t="shared" si="37"/>
        <v>0</v>
      </c>
      <c r="Q31" s="1025">
        <f t="shared" si="37"/>
        <v>0</v>
      </c>
      <c r="R31" s="1025">
        <f t="shared" si="37"/>
        <v>0</v>
      </c>
      <c r="S31" s="1025">
        <f t="shared" si="37"/>
        <v>0</v>
      </c>
      <c r="T31" s="1025">
        <f t="shared" si="37"/>
        <v>0</v>
      </c>
      <c r="U31" s="1025">
        <f t="shared" ref="U31:Z31" si="38">SUM(U32:U37)</f>
        <v>0</v>
      </c>
      <c r="V31" s="1025">
        <f t="shared" si="38"/>
        <v>0</v>
      </c>
      <c r="W31" s="1025">
        <f t="shared" si="38"/>
        <v>0</v>
      </c>
      <c r="X31" s="723">
        <f t="shared" si="38"/>
        <v>0</v>
      </c>
      <c r="Y31" s="723">
        <f t="shared" si="38"/>
        <v>0</v>
      </c>
      <c r="Z31" s="723">
        <f t="shared" si="38"/>
        <v>0</v>
      </c>
      <c r="AB31" s="723">
        <f t="shared" si="37"/>
        <v>0</v>
      </c>
      <c r="AC31" s="723">
        <f t="shared" si="37"/>
        <v>0</v>
      </c>
      <c r="AD31" s="723">
        <f t="shared" si="37"/>
        <v>0</v>
      </c>
      <c r="AE31" s="723">
        <f t="shared" si="37"/>
        <v>0</v>
      </c>
      <c r="AF31" s="723">
        <f t="shared" si="37"/>
        <v>0</v>
      </c>
      <c r="AG31" s="723">
        <f t="shared" si="37"/>
        <v>0</v>
      </c>
      <c r="AH31" s="13"/>
    </row>
    <row r="32" spans="1:34" s="9" customFormat="1" ht="25.5" customHeight="1">
      <c r="A32" s="944"/>
      <c r="B32" s="959" t="s">
        <v>43</v>
      </c>
      <c r="C32" s="960" t="s">
        <v>90</v>
      </c>
      <c r="D32" s="1012"/>
      <c r="E32" s="1012"/>
      <c r="F32" s="1013"/>
      <c r="G32" s="1013"/>
      <c r="H32" s="963"/>
      <c r="I32" s="1012">
        <v>592000</v>
      </c>
      <c r="J32" s="965"/>
      <c r="K32" s="965"/>
      <c r="L32" s="965"/>
      <c r="M32" s="965"/>
      <c r="N32" s="965"/>
      <c r="O32" s="965"/>
      <c r="P32" s="965"/>
      <c r="Q32" s="965"/>
      <c r="R32" s="965"/>
      <c r="S32" s="965"/>
      <c r="T32" s="965"/>
      <c r="U32" s="965"/>
      <c r="V32" s="965"/>
      <c r="W32" s="965"/>
      <c r="X32" s="707"/>
      <c r="Y32" s="707"/>
      <c r="Z32" s="707"/>
      <c r="AB32" s="707"/>
      <c r="AC32" s="707"/>
      <c r="AD32" s="707"/>
      <c r="AE32" s="707"/>
      <c r="AF32" s="707"/>
      <c r="AG32" s="707"/>
      <c r="AH32" s="13"/>
    </row>
    <row r="33" spans="1:34" s="9" customFormat="1" ht="25.5" customHeight="1">
      <c r="A33" s="944"/>
      <c r="B33" s="959" t="s">
        <v>82</v>
      </c>
      <c r="C33" s="960" t="s">
        <v>91</v>
      </c>
      <c r="D33" s="1012"/>
      <c r="E33" s="1012"/>
      <c r="F33" s="1013"/>
      <c r="G33" s="1013"/>
      <c r="H33" s="963"/>
      <c r="I33" s="1029">
        <v>11375316</v>
      </c>
      <c r="J33" s="965">
        <v>4596561</v>
      </c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707"/>
      <c r="Y33" s="707"/>
      <c r="Z33" s="707"/>
      <c r="AB33" s="707"/>
      <c r="AC33" s="707"/>
      <c r="AD33" s="707"/>
      <c r="AE33" s="707"/>
      <c r="AF33" s="707"/>
      <c r="AG33" s="707"/>
      <c r="AH33" s="13"/>
    </row>
    <row r="34" spans="1:34" s="9" customFormat="1" ht="25.5" customHeight="1">
      <c r="A34" s="944"/>
      <c r="B34" s="959" t="s">
        <v>83</v>
      </c>
      <c r="C34" s="960" t="s">
        <v>51</v>
      </c>
      <c r="D34" s="965">
        <f>D50+D53+D54-D56</f>
        <v>5205362</v>
      </c>
      <c r="E34" s="965">
        <f t="shared" ref="E34" si="39">E50+E53-E56</f>
        <v>10077301</v>
      </c>
      <c r="F34" s="1030">
        <f>F50+F53-F56</f>
        <v>3543907</v>
      </c>
      <c r="G34" s="1030">
        <v>2000862.89</v>
      </c>
      <c r="H34" s="963">
        <v>2575191</v>
      </c>
      <c r="I34" s="1012">
        <v>1139135</v>
      </c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5"/>
      <c r="U34" s="965"/>
      <c r="V34" s="965"/>
      <c r="W34" s="965"/>
      <c r="X34" s="707"/>
      <c r="Y34" s="707"/>
      <c r="Z34" s="707"/>
      <c r="AB34" s="707"/>
      <c r="AC34" s="707"/>
      <c r="AD34" s="707"/>
      <c r="AE34" s="707"/>
      <c r="AF34" s="707"/>
      <c r="AG34" s="707"/>
      <c r="AH34" s="13"/>
    </row>
    <row r="35" spans="1:34" s="9" customFormat="1" ht="25.5" customHeight="1">
      <c r="A35" s="944"/>
      <c r="B35" s="959" t="s">
        <v>84</v>
      </c>
      <c r="C35" s="960" t="s">
        <v>94</v>
      </c>
      <c r="D35" s="1012"/>
      <c r="E35" s="1012"/>
      <c r="F35" s="1013"/>
      <c r="G35" s="1013"/>
      <c r="H35" s="963"/>
      <c r="I35" s="1012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5"/>
      <c r="V35" s="965"/>
      <c r="W35" s="965"/>
      <c r="X35" s="707"/>
      <c r="Y35" s="707"/>
      <c r="Z35" s="707"/>
      <c r="AB35" s="707"/>
      <c r="AC35" s="707"/>
      <c r="AD35" s="707"/>
      <c r="AE35" s="707"/>
      <c r="AF35" s="707"/>
      <c r="AG35" s="707"/>
      <c r="AH35" s="13"/>
    </row>
    <row r="36" spans="1:34" s="9" customFormat="1" ht="25.5" customHeight="1">
      <c r="A36" s="944"/>
      <c r="B36" s="959" t="s">
        <v>85</v>
      </c>
      <c r="C36" s="960" t="s">
        <v>92</v>
      </c>
      <c r="D36" s="1012"/>
      <c r="E36" s="1012"/>
      <c r="F36" s="1013"/>
      <c r="G36" s="1013"/>
      <c r="H36" s="963"/>
      <c r="I36" s="1012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5"/>
      <c r="V36" s="965"/>
      <c r="W36" s="965"/>
      <c r="X36" s="707"/>
      <c r="Y36" s="707"/>
      <c r="Z36" s="707"/>
      <c r="AB36" s="707"/>
      <c r="AC36" s="707"/>
      <c r="AD36" s="707"/>
      <c r="AE36" s="707"/>
      <c r="AF36" s="707"/>
      <c r="AG36" s="707"/>
      <c r="AH36" s="13"/>
    </row>
    <row r="37" spans="1:34" s="9" customFormat="1" ht="25.5" customHeight="1" thickBot="1">
      <c r="A37" s="944"/>
      <c r="B37" s="959" t="s">
        <v>86</v>
      </c>
      <c r="C37" s="960" t="s">
        <v>100</v>
      </c>
      <c r="D37" s="1012">
        <v>3951054</v>
      </c>
      <c r="E37" s="1012">
        <v>3597108</v>
      </c>
      <c r="F37" s="1031">
        <v>2853626</v>
      </c>
      <c r="G37" s="1031">
        <v>4602829.0999999996</v>
      </c>
      <c r="H37" s="1015"/>
      <c r="I37" s="1032">
        <f t="shared" ref="I37:S37" si="40">I53</f>
        <v>0</v>
      </c>
      <c r="J37" s="1033">
        <f t="shared" si="40"/>
        <v>0</v>
      </c>
      <c r="K37" s="1033">
        <v>0</v>
      </c>
      <c r="L37" s="1033">
        <v>0</v>
      </c>
      <c r="M37" s="1033">
        <f t="shared" si="40"/>
        <v>0</v>
      </c>
      <c r="N37" s="1033">
        <f t="shared" si="40"/>
        <v>0</v>
      </c>
      <c r="O37" s="1033">
        <f t="shared" si="40"/>
        <v>0</v>
      </c>
      <c r="P37" s="1033">
        <f t="shared" si="40"/>
        <v>0</v>
      </c>
      <c r="Q37" s="1033">
        <f t="shared" si="40"/>
        <v>0</v>
      </c>
      <c r="R37" s="1033">
        <f t="shared" si="40"/>
        <v>0</v>
      </c>
      <c r="S37" s="1033">
        <f t="shared" si="40"/>
        <v>0</v>
      </c>
      <c r="T37" s="1033"/>
      <c r="U37" s="1033"/>
      <c r="V37" s="1033"/>
      <c r="W37" s="1033"/>
      <c r="X37" s="725"/>
      <c r="Y37" s="725"/>
      <c r="Z37" s="725"/>
      <c r="AB37" s="725"/>
      <c r="AC37" s="725"/>
      <c r="AD37" s="725"/>
      <c r="AE37" s="725"/>
      <c r="AF37" s="725"/>
      <c r="AG37" s="725"/>
      <c r="AH37" s="13"/>
    </row>
    <row r="38" spans="1:34" s="5" customFormat="1" ht="9.9499999999999993" customHeight="1" thickTop="1" thickBot="1">
      <c r="A38" s="944"/>
      <c r="B38" s="1034"/>
      <c r="C38" s="1035"/>
      <c r="D38" s="1036"/>
      <c r="E38" s="1036"/>
      <c r="F38" s="1036"/>
      <c r="G38" s="1036"/>
      <c r="H38" s="1037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726"/>
      <c r="Y38" s="726"/>
      <c r="Z38" s="799"/>
      <c r="AA38" s="13"/>
      <c r="AB38" s="726"/>
      <c r="AC38" s="726"/>
      <c r="AD38" s="727"/>
      <c r="AE38" s="726"/>
      <c r="AF38" s="726"/>
      <c r="AG38" s="726"/>
      <c r="AH38" s="13"/>
    </row>
    <row r="39" spans="1:34" s="9" customFormat="1" ht="66" customHeight="1" thickTop="1">
      <c r="A39" s="944"/>
      <c r="B39" s="1038" t="s">
        <v>44</v>
      </c>
      <c r="C39" s="1039" t="s">
        <v>99</v>
      </c>
      <c r="D39" s="1040"/>
      <c r="E39" s="1041"/>
      <c r="F39" s="1042">
        <f t="shared" ref="F39:Z39" si="41">SUM(F40:F43)</f>
        <v>0</v>
      </c>
      <c r="G39" s="1042">
        <f t="shared" si="41"/>
        <v>0</v>
      </c>
      <c r="H39" s="1043">
        <f t="shared" si="41"/>
        <v>0</v>
      </c>
      <c r="I39" s="1041">
        <f t="shared" si="41"/>
        <v>0</v>
      </c>
      <c r="J39" s="1044">
        <f t="shared" si="41"/>
        <v>0</v>
      </c>
      <c r="K39" s="1044">
        <f t="shared" si="41"/>
        <v>4951533</v>
      </c>
      <c r="L39" s="1044">
        <f t="shared" si="41"/>
        <v>7792714</v>
      </c>
      <c r="M39" s="1044">
        <f t="shared" si="41"/>
        <v>7700000</v>
      </c>
      <c r="N39" s="1044">
        <f t="shared" si="41"/>
        <v>7800000</v>
      </c>
      <c r="O39" s="1044">
        <f t="shared" si="41"/>
        <v>7900000</v>
      </c>
      <c r="P39" s="1044">
        <f t="shared" si="41"/>
        <v>7075246</v>
      </c>
      <c r="Q39" s="1044">
        <f t="shared" si="41"/>
        <v>6018648</v>
      </c>
      <c r="R39" s="1044">
        <f t="shared" si="41"/>
        <v>6600000</v>
      </c>
      <c r="S39" s="1044">
        <f t="shared" si="41"/>
        <v>2670835</v>
      </c>
      <c r="T39" s="1044">
        <f t="shared" si="41"/>
        <v>3042899</v>
      </c>
      <c r="U39" s="1044">
        <f t="shared" si="41"/>
        <v>1774404</v>
      </c>
      <c r="V39" s="1044">
        <f t="shared" si="41"/>
        <v>1153846</v>
      </c>
      <c r="W39" s="1044">
        <f t="shared" si="41"/>
        <v>1153846</v>
      </c>
      <c r="X39" s="729">
        <f t="shared" si="41"/>
        <v>-4486216</v>
      </c>
      <c r="Y39" s="729">
        <f t="shared" si="41"/>
        <v>1013784</v>
      </c>
      <c r="Z39" s="729">
        <f t="shared" si="41"/>
        <v>506795</v>
      </c>
      <c r="AA39" s="13"/>
      <c r="AB39" s="728">
        <f t="shared" ref="AB39:AG39" si="42">SUM(AB40:AB43)</f>
        <v>-1200000</v>
      </c>
      <c r="AC39" s="729">
        <f t="shared" si="42"/>
        <v>-1300000</v>
      </c>
      <c r="AD39" s="729">
        <f t="shared" si="42"/>
        <v>-1300000</v>
      </c>
      <c r="AE39" s="729">
        <f t="shared" si="42"/>
        <v>-1300000</v>
      </c>
      <c r="AF39" s="729">
        <f t="shared" si="42"/>
        <v>-1300000</v>
      </c>
      <c r="AG39" s="729">
        <f t="shared" si="42"/>
        <v>-1300000</v>
      </c>
      <c r="AH39" s="13"/>
    </row>
    <row r="40" spans="1:34" s="9" customFormat="1" ht="25.5" customHeight="1">
      <c r="A40" s="944"/>
      <c r="B40" s="959" t="s">
        <v>45</v>
      </c>
      <c r="C40" s="960" t="s">
        <v>380</v>
      </c>
      <c r="D40" s="1012"/>
      <c r="E40" s="1012"/>
      <c r="F40" s="1013"/>
      <c r="G40" s="1013"/>
      <c r="H40" s="963"/>
      <c r="I40" s="1012"/>
      <c r="J40" s="965"/>
      <c r="K40" s="965"/>
      <c r="L40" s="965">
        <v>1792714</v>
      </c>
      <c r="M40" s="965">
        <v>1700000</v>
      </c>
      <c r="N40" s="965">
        <v>1800000</v>
      </c>
      <c r="O40" s="965">
        <v>900000</v>
      </c>
      <c r="P40" s="965">
        <v>1775246</v>
      </c>
      <c r="Q40" s="965">
        <v>1775246</v>
      </c>
      <c r="R40" s="965">
        <v>507593</v>
      </c>
      <c r="S40" s="965">
        <v>1775246</v>
      </c>
      <c r="T40" s="965">
        <v>1775246</v>
      </c>
      <c r="U40" s="965">
        <f>U10</f>
        <v>1774404</v>
      </c>
      <c r="V40" s="965">
        <f>V10</f>
        <v>1153846</v>
      </c>
      <c r="W40" s="965">
        <f>W10</f>
        <v>1153846</v>
      </c>
      <c r="X40" s="707">
        <f>X10</f>
        <v>-4486216</v>
      </c>
      <c r="Y40" s="707">
        <v>1013784</v>
      </c>
      <c r="Z40" s="707">
        <v>506795</v>
      </c>
      <c r="AA40" s="13"/>
      <c r="AB40" s="720"/>
      <c r="AC40" s="707"/>
      <c r="AD40" s="707"/>
      <c r="AE40" s="707"/>
      <c r="AF40" s="707"/>
      <c r="AG40" s="707"/>
      <c r="AH40" s="13"/>
    </row>
    <row r="41" spans="1:34" s="9" customFormat="1" ht="25.5" customHeight="1">
      <c r="A41" s="944"/>
      <c r="B41" s="959" t="s">
        <v>46</v>
      </c>
      <c r="C41" s="960" t="s">
        <v>71</v>
      </c>
      <c r="D41" s="1012"/>
      <c r="E41" s="1012"/>
      <c r="F41" s="1013"/>
      <c r="G41" s="1013"/>
      <c r="H41" s="963"/>
      <c r="I41" s="1012">
        <v>0</v>
      </c>
      <c r="J41" s="965">
        <v>0</v>
      </c>
      <c r="K41" s="965">
        <f>K10</f>
        <v>4951533</v>
      </c>
      <c r="L41" s="965">
        <v>6000000</v>
      </c>
      <c r="M41" s="965">
        <v>6000000</v>
      </c>
      <c r="N41" s="965">
        <v>6000000</v>
      </c>
      <c r="O41" s="965">
        <v>7000000</v>
      </c>
      <c r="P41" s="965">
        <v>5300000</v>
      </c>
      <c r="Q41" s="965">
        <v>4243402</v>
      </c>
      <c r="R41" s="965">
        <v>6092407</v>
      </c>
      <c r="S41" s="965">
        <v>895589</v>
      </c>
      <c r="T41" s="1045">
        <v>1267653</v>
      </c>
      <c r="U41" s="959"/>
      <c r="V41" s="1046"/>
      <c r="W41" s="1046"/>
      <c r="X41" s="9">
        <v>0</v>
      </c>
      <c r="Y41" s="707">
        <v>0</v>
      </c>
      <c r="Z41" s="707">
        <v>0</v>
      </c>
      <c r="AA41" s="13"/>
      <c r="AB41" s="720">
        <f t="shared" ref="AB41:AG41" si="43">AB10</f>
        <v>-1200000</v>
      </c>
      <c r="AC41" s="707">
        <f t="shared" si="43"/>
        <v>-1300000</v>
      </c>
      <c r="AD41" s="707">
        <f t="shared" si="43"/>
        <v>-1300000</v>
      </c>
      <c r="AE41" s="707">
        <f t="shared" si="43"/>
        <v>-1300000</v>
      </c>
      <c r="AF41" s="707">
        <f t="shared" si="43"/>
        <v>-1300000</v>
      </c>
      <c r="AG41" s="707">
        <f t="shared" si="43"/>
        <v>-1300000</v>
      </c>
      <c r="AH41" s="13"/>
    </row>
    <row r="42" spans="1:34" s="9" customFormat="1" ht="25.5" customHeight="1">
      <c r="A42" s="944"/>
      <c r="B42" s="959" t="s">
        <v>47</v>
      </c>
      <c r="C42" s="960" t="s">
        <v>88</v>
      </c>
      <c r="D42" s="1012"/>
      <c r="E42" s="1012"/>
      <c r="F42" s="1013"/>
      <c r="G42" s="1013"/>
      <c r="H42" s="963"/>
      <c r="I42" s="1012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707"/>
      <c r="Y42" s="707"/>
      <c r="Z42" s="707"/>
      <c r="AA42" s="13"/>
      <c r="AB42" s="720"/>
      <c r="AC42" s="707"/>
      <c r="AD42" s="707"/>
      <c r="AE42" s="707"/>
      <c r="AF42" s="707"/>
      <c r="AG42" s="707"/>
      <c r="AH42" s="13"/>
    </row>
    <row r="43" spans="1:34" s="9" customFormat="1" ht="25.5" customHeight="1" thickBot="1">
      <c r="A43" s="944"/>
      <c r="B43" s="959" t="s">
        <v>48</v>
      </c>
      <c r="C43" s="960" t="s">
        <v>93</v>
      </c>
      <c r="D43" s="1032"/>
      <c r="E43" s="1032"/>
      <c r="F43" s="1031"/>
      <c r="G43" s="1031"/>
      <c r="H43" s="1015"/>
      <c r="I43" s="1032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725"/>
      <c r="Y43" s="725"/>
      <c r="Z43" s="725"/>
      <c r="AA43" s="13"/>
      <c r="AB43" s="724"/>
      <c r="AC43" s="725"/>
      <c r="AD43" s="725"/>
      <c r="AE43" s="725"/>
      <c r="AF43" s="725"/>
      <c r="AG43" s="725"/>
      <c r="AH43" s="13"/>
    </row>
    <row r="44" spans="1:34" s="5" customFormat="1" ht="9.9499999999999993" customHeight="1" thickTop="1" thickBot="1">
      <c r="A44" s="944"/>
      <c r="B44" s="1034"/>
      <c r="C44" s="1035"/>
      <c r="D44" s="1036"/>
      <c r="E44" s="1036"/>
      <c r="F44" s="1036"/>
      <c r="G44" s="1036"/>
      <c r="H44" s="1037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726"/>
      <c r="Y44" s="726"/>
      <c r="Z44" s="799"/>
      <c r="AA44" s="13"/>
      <c r="AB44" s="726"/>
      <c r="AC44" s="726"/>
      <c r="AD44" s="727"/>
      <c r="AE44" s="726"/>
      <c r="AF44" s="726"/>
      <c r="AG44" s="726"/>
      <c r="AH44" s="13"/>
    </row>
    <row r="45" spans="1:34" s="9" customFormat="1" ht="56.25" customHeight="1" thickTop="1" thickBot="1">
      <c r="A45" s="944"/>
      <c r="B45" s="1047" t="s">
        <v>49</v>
      </c>
      <c r="C45" s="1048" t="s">
        <v>50</v>
      </c>
      <c r="D45" s="1049">
        <f t="shared" ref="D45:E45" si="44">D47+D51+D52+D53+D54</f>
        <v>8901750</v>
      </c>
      <c r="E45" s="1049">
        <f t="shared" si="44"/>
        <v>16000000</v>
      </c>
      <c r="F45" s="1050">
        <f>F47+F51+F52+F53+F54</f>
        <v>10000000</v>
      </c>
      <c r="G45" s="1050">
        <f>G47+G51+G52+G53+G54</f>
        <v>14602829.1</v>
      </c>
      <c r="H45" s="1051">
        <f t="shared" ref="H45:AG45" si="45">H47+H51+H52+H53+H54</f>
        <v>9574058</v>
      </c>
      <c r="I45" s="1052">
        <f t="shared" si="45"/>
        <v>23267316</v>
      </c>
      <c r="J45" s="1049">
        <f t="shared" si="45"/>
        <v>8697957</v>
      </c>
      <c r="K45" s="1049">
        <f t="shared" si="45"/>
        <v>547885</v>
      </c>
      <c r="L45" s="1049">
        <f t="shared" si="45"/>
        <v>0</v>
      </c>
      <c r="M45" s="1049">
        <f t="shared" si="45"/>
        <v>243402</v>
      </c>
      <c r="N45" s="1049">
        <f t="shared" si="45"/>
        <v>92407</v>
      </c>
      <c r="O45" s="1049">
        <f t="shared" si="45"/>
        <v>895589</v>
      </c>
      <c r="P45" s="1049">
        <f t="shared" si="45"/>
        <v>0</v>
      </c>
      <c r="Q45" s="1049">
        <f t="shared" si="45"/>
        <v>0</v>
      </c>
      <c r="R45" s="1049">
        <f t="shared" si="45"/>
        <v>1267653</v>
      </c>
      <c r="S45" s="1049">
        <f t="shared" si="45"/>
        <v>0</v>
      </c>
      <c r="T45" s="1049">
        <f t="shared" si="45"/>
        <v>0</v>
      </c>
      <c r="U45" s="1049">
        <f t="shared" ref="U45:Z45" si="46">U47+U51+U52+U53+U54</f>
        <v>0</v>
      </c>
      <c r="V45" s="1049">
        <f t="shared" si="46"/>
        <v>0</v>
      </c>
      <c r="W45" s="1049">
        <f t="shared" si="46"/>
        <v>0</v>
      </c>
      <c r="X45" s="730">
        <f t="shared" si="46"/>
        <v>0</v>
      </c>
      <c r="Y45" s="730">
        <f t="shared" si="46"/>
        <v>0</v>
      </c>
      <c r="Z45" s="730">
        <f t="shared" si="46"/>
        <v>0</v>
      </c>
      <c r="AA45" s="13"/>
      <c r="AB45" s="731">
        <f t="shared" si="45"/>
        <v>0</v>
      </c>
      <c r="AC45" s="730">
        <f t="shared" si="45"/>
        <v>0</v>
      </c>
      <c r="AD45" s="730">
        <f t="shared" si="45"/>
        <v>0</v>
      </c>
      <c r="AE45" s="730">
        <f t="shared" si="45"/>
        <v>0</v>
      </c>
      <c r="AF45" s="730">
        <f t="shared" si="45"/>
        <v>0</v>
      </c>
      <c r="AG45" s="730">
        <f t="shared" si="45"/>
        <v>0</v>
      </c>
      <c r="AH45" s="13"/>
    </row>
    <row r="46" spans="1:34" s="5" customFormat="1" ht="9.9499999999999993" customHeight="1" thickTop="1" thickBot="1">
      <c r="A46" s="944"/>
      <c r="B46" s="1034"/>
      <c r="C46" s="1053"/>
      <c r="D46" s="1054"/>
      <c r="E46" s="1036"/>
      <c r="F46" s="1036"/>
      <c r="G46" s="1036"/>
      <c r="H46" s="1037"/>
      <c r="I46" s="1036"/>
      <c r="J46" s="1036"/>
      <c r="K46" s="1036"/>
      <c r="L46" s="1036"/>
      <c r="M46" s="1036"/>
      <c r="N46" s="1036"/>
      <c r="O46" s="1036"/>
      <c r="P46" s="1036"/>
      <c r="Q46" s="1036"/>
      <c r="R46" s="1036"/>
      <c r="S46" s="1036"/>
      <c r="T46" s="1036"/>
      <c r="U46" s="1036"/>
      <c r="V46" s="1036"/>
      <c r="W46" s="1036"/>
      <c r="X46" s="726"/>
      <c r="Y46" s="726"/>
      <c r="Z46" s="799"/>
      <c r="AA46" s="13"/>
      <c r="AB46" s="726"/>
      <c r="AC46" s="726"/>
      <c r="AD46" s="727"/>
      <c r="AE46" s="726"/>
      <c r="AF46" s="726"/>
      <c r="AG46" s="726"/>
      <c r="AH46" s="13"/>
    </row>
    <row r="47" spans="1:34" s="9" customFormat="1" ht="36" customHeight="1" thickTop="1">
      <c r="A47" s="944"/>
      <c r="B47" s="959" t="s">
        <v>52</v>
      </c>
      <c r="C47" s="960" t="s">
        <v>467</v>
      </c>
      <c r="D47" s="1055">
        <f t="shared" ref="D47:E47" si="47">SUM(D48:D50)</f>
        <v>8900000</v>
      </c>
      <c r="E47" s="1055">
        <f t="shared" si="47"/>
        <v>16000000</v>
      </c>
      <c r="F47" s="1056">
        <f>SUM(F48:F50)</f>
        <v>10000000</v>
      </c>
      <c r="G47" s="1056">
        <f>SUM(G48:G50)</f>
        <v>10000000</v>
      </c>
      <c r="H47" s="1057">
        <f t="shared" ref="H47:AG47" si="48">SUM(H48:H50)</f>
        <v>7000000</v>
      </c>
      <c r="I47" s="1058">
        <f t="shared" si="48"/>
        <v>23267316</v>
      </c>
      <c r="J47" s="1055">
        <f t="shared" si="48"/>
        <v>8697957</v>
      </c>
      <c r="K47" s="1055">
        <f t="shared" si="48"/>
        <v>547885</v>
      </c>
      <c r="L47" s="1055">
        <f t="shared" si="48"/>
        <v>0</v>
      </c>
      <c r="M47" s="1055">
        <f t="shared" si="48"/>
        <v>243402</v>
      </c>
      <c r="N47" s="1055">
        <f t="shared" si="48"/>
        <v>92407</v>
      </c>
      <c r="O47" s="1055">
        <f t="shared" si="48"/>
        <v>895589</v>
      </c>
      <c r="P47" s="1055">
        <f t="shared" si="48"/>
        <v>0</v>
      </c>
      <c r="Q47" s="1055">
        <f t="shared" si="48"/>
        <v>0</v>
      </c>
      <c r="R47" s="1055">
        <f t="shared" si="48"/>
        <v>1267653</v>
      </c>
      <c r="S47" s="1055">
        <f t="shared" si="48"/>
        <v>0</v>
      </c>
      <c r="T47" s="1055">
        <f t="shared" si="48"/>
        <v>0</v>
      </c>
      <c r="U47" s="1055">
        <f t="shared" ref="U47:Z47" si="49">SUM(U48:U50)</f>
        <v>0</v>
      </c>
      <c r="V47" s="1055">
        <f t="shared" si="49"/>
        <v>0</v>
      </c>
      <c r="W47" s="1055">
        <f t="shared" si="49"/>
        <v>0</v>
      </c>
      <c r="X47" s="732">
        <f t="shared" si="49"/>
        <v>0</v>
      </c>
      <c r="Y47" s="732">
        <f t="shared" si="49"/>
        <v>0</v>
      </c>
      <c r="Z47" s="732">
        <f t="shared" si="49"/>
        <v>0</v>
      </c>
      <c r="AA47" s="13"/>
      <c r="AB47" s="712">
        <f t="shared" si="48"/>
        <v>-1774404</v>
      </c>
      <c r="AC47" s="732">
        <f t="shared" si="48"/>
        <v>1200000</v>
      </c>
      <c r="AD47" s="732">
        <f t="shared" si="48"/>
        <v>1300000</v>
      </c>
      <c r="AE47" s="732">
        <f t="shared" si="48"/>
        <v>1300000</v>
      </c>
      <c r="AF47" s="732">
        <f t="shared" si="48"/>
        <v>1300000</v>
      </c>
      <c r="AG47" s="732">
        <f t="shared" si="48"/>
        <v>1300000</v>
      </c>
      <c r="AH47" s="13"/>
    </row>
    <row r="48" spans="1:34" s="9" customFormat="1" ht="34.5" customHeight="1">
      <c r="A48" s="944"/>
      <c r="B48" s="959" t="s">
        <v>53</v>
      </c>
      <c r="C48" s="960" t="s">
        <v>1</v>
      </c>
      <c r="D48" s="1012"/>
      <c r="E48" s="1012"/>
      <c r="F48" s="1013"/>
      <c r="G48" s="1013"/>
      <c r="H48" s="963"/>
      <c r="I48" s="1012">
        <f>592000</f>
        <v>592000</v>
      </c>
      <c r="J48" s="965">
        <f>3608000</f>
        <v>3608000</v>
      </c>
      <c r="K48" s="965"/>
      <c r="L48" s="965"/>
      <c r="M48" s="965"/>
      <c r="N48" s="965"/>
      <c r="O48" s="965"/>
      <c r="P48" s="965"/>
      <c r="Q48" s="965"/>
      <c r="R48" s="965"/>
      <c r="S48" s="965"/>
      <c r="T48" s="965"/>
      <c r="U48" s="965"/>
      <c r="V48" s="965"/>
      <c r="W48" s="965"/>
      <c r="X48" s="707"/>
      <c r="Y48" s="707"/>
      <c r="Z48" s="707"/>
      <c r="AA48" s="13"/>
      <c r="AB48" s="720"/>
      <c r="AC48" s="707"/>
      <c r="AD48" s="707"/>
      <c r="AE48" s="707"/>
      <c r="AF48" s="707"/>
      <c r="AG48" s="707"/>
      <c r="AH48" s="13"/>
    </row>
    <row r="49" spans="1:34" s="9" customFormat="1" ht="33" customHeight="1">
      <c r="A49" s="944"/>
      <c r="B49" s="959" t="s">
        <v>54</v>
      </c>
      <c r="C49" s="960" t="s">
        <v>2</v>
      </c>
      <c r="D49" s="1012"/>
      <c r="E49" s="1012"/>
      <c r="F49" s="1013"/>
      <c r="G49" s="1013"/>
      <c r="H49" s="963"/>
      <c r="I49" s="1012">
        <f>2285316+9090000</f>
        <v>11375316</v>
      </c>
      <c r="J49" s="965">
        <f>3379957+1710000</f>
        <v>5089957</v>
      </c>
      <c r="K49" s="965">
        <v>547885</v>
      </c>
      <c r="L49" s="965"/>
      <c r="M49" s="965"/>
      <c r="N49" s="965"/>
      <c r="O49" s="965"/>
      <c r="P49" s="965"/>
      <c r="Q49" s="965"/>
      <c r="R49" s="965"/>
      <c r="S49" s="965"/>
      <c r="T49" s="965"/>
      <c r="U49" s="965"/>
      <c r="V49" s="965"/>
      <c r="W49" s="965"/>
      <c r="X49" s="707"/>
      <c r="Y49" s="707"/>
      <c r="Z49" s="707"/>
      <c r="AA49" s="13"/>
      <c r="AB49" s="720"/>
      <c r="AC49" s="707"/>
      <c r="AD49" s="707"/>
      <c r="AE49" s="707"/>
      <c r="AF49" s="707"/>
      <c r="AG49" s="707"/>
      <c r="AH49" s="13"/>
    </row>
    <row r="50" spans="1:34" s="9" customFormat="1" ht="33" customHeight="1">
      <c r="A50" s="944"/>
      <c r="B50" s="959" t="s">
        <v>55</v>
      </c>
      <c r="C50" s="960" t="s">
        <v>3</v>
      </c>
      <c r="D50" s="1012">
        <v>8900000</v>
      </c>
      <c r="E50" s="1012">
        <v>16000000</v>
      </c>
      <c r="F50" s="1013">
        <v>10000000</v>
      </c>
      <c r="G50" s="1013">
        <v>10000000</v>
      </c>
      <c r="H50" s="963">
        <f>7000000</f>
        <v>7000000</v>
      </c>
      <c r="I50" s="1012">
        <f>9300000+2000000</f>
        <v>11300000</v>
      </c>
      <c r="J50" s="965">
        <v>0</v>
      </c>
      <c r="K50" s="965">
        <v>0</v>
      </c>
      <c r="L50" s="965">
        <v>0</v>
      </c>
      <c r="M50" s="965">
        <v>243402</v>
      </c>
      <c r="N50" s="965">
        <v>92407</v>
      </c>
      <c r="O50" s="965">
        <v>895589</v>
      </c>
      <c r="P50" s="965">
        <v>0</v>
      </c>
      <c r="Q50" s="965">
        <v>0</v>
      </c>
      <c r="R50" s="965">
        <v>1267653</v>
      </c>
      <c r="S50" s="965">
        <v>0</v>
      </c>
      <c r="T50" s="965">
        <v>0</v>
      </c>
      <c r="U50" s="965">
        <v>0</v>
      </c>
      <c r="V50" s="965">
        <v>0</v>
      </c>
      <c r="W50" s="965">
        <v>0</v>
      </c>
      <c r="X50" s="707">
        <v>0</v>
      </c>
      <c r="Y50" s="707">
        <v>0</v>
      </c>
      <c r="Z50" s="707">
        <v>0</v>
      </c>
      <c r="AA50" s="13"/>
      <c r="AB50" s="720">
        <f t="shared" ref="AB50:AG50" si="50">AB56-AB52</f>
        <v>-1774404</v>
      </c>
      <c r="AC50" s="707">
        <f t="shared" si="50"/>
        <v>1200000</v>
      </c>
      <c r="AD50" s="707">
        <f t="shared" si="50"/>
        <v>1300000</v>
      </c>
      <c r="AE50" s="707">
        <f t="shared" si="50"/>
        <v>1300000</v>
      </c>
      <c r="AF50" s="707">
        <f t="shared" si="50"/>
        <v>1300000</v>
      </c>
      <c r="AG50" s="707">
        <f t="shared" si="50"/>
        <v>1300000</v>
      </c>
      <c r="AH50" s="13"/>
    </row>
    <row r="51" spans="1:34" s="9" customFormat="1" ht="33" customHeight="1">
      <c r="A51" s="944"/>
      <c r="B51" s="959" t="s">
        <v>56</v>
      </c>
      <c r="C51" s="960" t="s">
        <v>468</v>
      </c>
      <c r="D51" s="1012"/>
      <c r="E51" s="1012"/>
      <c r="F51" s="1013"/>
      <c r="G51" s="1013"/>
      <c r="H51" s="963"/>
      <c r="I51" s="1012"/>
      <c r="J51" s="965"/>
      <c r="K51" s="965"/>
      <c r="L51" s="965"/>
      <c r="M51" s="965"/>
      <c r="N51" s="965"/>
      <c r="O51" s="965"/>
      <c r="P51" s="965"/>
      <c r="Q51" s="965"/>
      <c r="R51" s="965"/>
      <c r="S51" s="965"/>
      <c r="T51" s="965"/>
      <c r="U51" s="965"/>
      <c r="V51" s="965"/>
      <c r="W51" s="965"/>
      <c r="X51" s="707"/>
      <c r="Y51" s="707"/>
      <c r="Z51" s="707"/>
      <c r="AA51" s="13"/>
      <c r="AB51" s="720"/>
      <c r="AC51" s="707"/>
      <c r="AD51" s="707"/>
      <c r="AE51" s="707"/>
      <c r="AF51" s="707"/>
      <c r="AG51" s="707"/>
      <c r="AH51" s="13"/>
    </row>
    <row r="52" spans="1:34" s="9" customFormat="1" ht="34.5" customHeight="1">
      <c r="A52" s="944"/>
      <c r="B52" s="959" t="s">
        <v>57</v>
      </c>
      <c r="C52" s="960" t="s">
        <v>92</v>
      </c>
      <c r="D52" s="965"/>
      <c r="E52" s="965"/>
      <c r="F52" s="1013"/>
      <c r="G52" s="1013"/>
      <c r="H52" s="963">
        <f t="shared" ref="H52" si="51">IF(F10&lt;=0,0,F10)</f>
        <v>0</v>
      </c>
      <c r="I52" s="1012">
        <f>IF(H10&lt;=0,0,H10)</f>
        <v>0</v>
      </c>
      <c r="J52" s="965">
        <v>0</v>
      </c>
      <c r="K52" s="965">
        <v>0</v>
      </c>
      <c r="L52" s="965">
        <v>0</v>
      </c>
      <c r="M52" s="965">
        <v>0</v>
      </c>
      <c r="N52" s="965">
        <v>0</v>
      </c>
      <c r="O52" s="965">
        <v>0</v>
      </c>
      <c r="P52" s="965">
        <v>0</v>
      </c>
      <c r="Q52" s="965">
        <v>0</v>
      </c>
      <c r="R52" s="965">
        <v>0</v>
      </c>
      <c r="S52" s="965">
        <v>0</v>
      </c>
      <c r="T52" s="965">
        <v>0</v>
      </c>
      <c r="U52" s="965">
        <v>0</v>
      </c>
      <c r="V52" s="965">
        <v>0</v>
      </c>
      <c r="W52" s="965">
        <v>0</v>
      </c>
      <c r="X52" s="707">
        <v>0</v>
      </c>
      <c r="Y52" s="707">
        <v>0</v>
      </c>
      <c r="Z52" s="707">
        <v>0</v>
      </c>
      <c r="AA52" s="13"/>
      <c r="AB52" s="720">
        <f>U10</f>
        <v>1774404</v>
      </c>
      <c r="AC52" s="707">
        <f>AB10</f>
        <v>-1200000</v>
      </c>
      <c r="AD52" s="707">
        <f t="shared" ref="AD52:AG52" si="52">AC10</f>
        <v>-1300000</v>
      </c>
      <c r="AE52" s="707">
        <f t="shared" si="52"/>
        <v>-1300000</v>
      </c>
      <c r="AF52" s="707">
        <f t="shared" si="52"/>
        <v>-1300000</v>
      </c>
      <c r="AG52" s="707">
        <f t="shared" si="52"/>
        <v>-1300000</v>
      </c>
      <c r="AH52" s="13"/>
    </row>
    <row r="53" spans="1:34" s="9" customFormat="1" ht="37.5" customHeight="1">
      <c r="A53" s="944"/>
      <c r="B53" s="959" t="s">
        <v>58</v>
      </c>
      <c r="C53" s="960" t="s">
        <v>100</v>
      </c>
      <c r="D53" s="1012"/>
      <c r="E53" s="1012"/>
      <c r="F53" s="1013"/>
      <c r="G53" s="1013">
        <v>4602829.0999999996</v>
      </c>
      <c r="H53" s="963">
        <v>2574058</v>
      </c>
      <c r="I53" s="1012"/>
      <c r="J53" s="965">
        <v>0</v>
      </c>
      <c r="K53" s="965">
        <v>0</v>
      </c>
      <c r="L53" s="965">
        <v>0</v>
      </c>
      <c r="M53" s="965"/>
      <c r="N53" s="965"/>
      <c r="O53" s="965"/>
      <c r="P53" s="965"/>
      <c r="Q53" s="965"/>
      <c r="R53" s="965"/>
      <c r="S53" s="965"/>
      <c r="T53" s="965"/>
      <c r="U53" s="965"/>
      <c r="V53" s="965"/>
      <c r="W53" s="965"/>
      <c r="X53" s="707"/>
      <c r="Y53" s="707"/>
      <c r="Z53" s="707"/>
      <c r="AA53" s="13"/>
      <c r="AB53" s="720"/>
      <c r="AC53" s="707"/>
      <c r="AD53" s="707"/>
      <c r="AE53" s="707"/>
      <c r="AF53" s="707"/>
      <c r="AG53" s="707"/>
      <c r="AH53" s="13"/>
    </row>
    <row r="54" spans="1:34" s="9" customFormat="1" ht="43.5" customHeight="1">
      <c r="A54" s="944"/>
      <c r="B54" s="959" t="s">
        <v>59</v>
      </c>
      <c r="C54" s="960" t="s">
        <v>469</v>
      </c>
      <c r="D54" s="1032">
        <v>1750</v>
      </c>
      <c r="E54" s="1032"/>
      <c r="F54" s="1031"/>
      <c r="G54" s="1031"/>
      <c r="H54" s="1059"/>
      <c r="I54" s="1032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725"/>
      <c r="Y54" s="725"/>
      <c r="Z54" s="725"/>
      <c r="AA54" s="13"/>
      <c r="AB54" s="724"/>
      <c r="AC54" s="725"/>
      <c r="AD54" s="725"/>
      <c r="AE54" s="725"/>
      <c r="AF54" s="725"/>
      <c r="AG54" s="725"/>
      <c r="AH54" s="13"/>
    </row>
    <row r="55" spans="1:34" s="5" customFormat="1" ht="9.9499999999999993" customHeight="1">
      <c r="A55" s="944"/>
      <c r="B55" s="1034"/>
      <c r="C55" s="1035"/>
      <c r="D55" s="1036"/>
      <c r="E55" s="1036"/>
      <c r="F55" s="1036"/>
      <c r="G55" s="1036"/>
      <c r="H55" s="1060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6"/>
      <c r="X55" s="726"/>
      <c r="Y55" s="726"/>
      <c r="Z55" s="799"/>
      <c r="AA55" s="13"/>
      <c r="AB55" s="726"/>
      <c r="AC55" s="726"/>
      <c r="AD55" s="727"/>
      <c r="AE55" s="726"/>
      <c r="AF55" s="726"/>
      <c r="AG55" s="726"/>
      <c r="AH55" s="13"/>
    </row>
    <row r="56" spans="1:34" s="5" customFormat="1" ht="60.75" customHeight="1" thickBot="1">
      <c r="A56" s="944"/>
      <c r="B56" s="1061" t="s">
        <v>60</v>
      </c>
      <c r="C56" s="1062" t="s">
        <v>67</v>
      </c>
      <c r="D56" s="1063">
        <f t="shared" ref="D56:E56" si="53">D58+D62+D63</f>
        <v>3696388</v>
      </c>
      <c r="E56" s="1063">
        <f t="shared" si="53"/>
        <v>5922699</v>
      </c>
      <c r="F56" s="1064">
        <f>F58+F62+F63</f>
        <v>6456093</v>
      </c>
      <c r="G56" s="1064">
        <f>G58+G62+G63</f>
        <v>6456092.5</v>
      </c>
      <c r="H56" s="1065">
        <f t="shared" ref="H56:AG56" si="54">H58+H62+H63</f>
        <v>6998867</v>
      </c>
      <c r="I56" s="1066">
        <f t="shared" si="54"/>
        <v>10160865</v>
      </c>
      <c r="J56" s="1063">
        <f t="shared" si="54"/>
        <v>4101396</v>
      </c>
      <c r="K56" s="1063">
        <f t="shared" si="54"/>
        <v>5499418</v>
      </c>
      <c r="L56" s="1063">
        <f t="shared" si="54"/>
        <v>7972714</v>
      </c>
      <c r="M56" s="1063">
        <f t="shared" si="54"/>
        <v>7943402</v>
      </c>
      <c r="N56" s="1063">
        <f t="shared" si="54"/>
        <v>7892407</v>
      </c>
      <c r="O56" s="1063">
        <f t="shared" si="54"/>
        <v>8795589</v>
      </c>
      <c r="P56" s="1063">
        <f t="shared" si="54"/>
        <v>7075246</v>
      </c>
      <c r="Q56" s="1063">
        <f t="shared" si="54"/>
        <v>6018648</v>
      </c>
      <c r="R56" s="1063">
        <f t="shared" si="54"/>
        <v>7867653</v>
      </c>
      <c r="S56" s="1063">
        <f t="shared" si="54"/>
        <v>2670835</v>
      </c>
      <c r="T56" s="1063">
        <f t="shared" si="54"/>
        <v>3042899</v>
      </c>
      <c r="U56" s="1063">
        <f t="shared" ref="U56:Z56" si="55">U58+U62+U63</f>
        <v>1774404</v>
      </c>
      <c r="V56" s="1063">
        <f t="shared" si="55"/>
        <v>1153846</v>
      </c>
      <c r="W56" s="1063">
        <f t="shared" si="55"/>
        <v>1153846</v>
      </c>
      <c r="X56" s="733">
        <f t="shared" si="55"/>
        <v>0</v>
      </c>
      <c r="Y56" s="733">
        <f t="shared" si="55"/>
        <v>0</v>
      </c>
      <c r="Z56" s="733">
        <f t="shared" si="55"/>
        <v>0</v>
      </c>
      <c r="AA56" s="13"/>
      <c r="AB56" s="734">
        <f t="shared" si="54"/>
        <v>0</v>
      </c>
      <c r="AC56" s="733">
        <f t="shared" si="54"/>
        <v>0</v>
      </c>
      <c r="AD56" s="733">
        <f t="shared" si="54"/>
        <v>0</v>
      </c>
      <c r="AE56" s="733">
        <f t="shared" si="54"/>
        <v>0</v>
      </c>
      <c r="AF56" s="733">
        <f t="shared" si="54"/>
        <v>0</v>
      </c>
      <c r="AG56" s="733">
        <f t="shared" si="54"/>
        <v>0</v>
      </c>
      <c r="AH56" s="13"/>
    </row>
    <row r="57" spans="1:34" s="9" customFormat="1" ht="9.9499999999999993" customHeight="1" thickTop="1" thickBot="1">
      <c r="A57" s="944"/>
      <c r="B57" s="1034"/>
      <c r="C57" s="1053"/>
      <c r="D57" s="1054"/>
      <c r="E57" s="1036"/>
      <c r="F57" s="1036"/>
      <c r="G57" s="1036"/>
      <c r="H57" s="1037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726"/>
      <c r="Y57" s="726"/>
      <c r="Z57" s="799"/>
      <c r="AA57" s="13"/>
      <c r="AB57" s="726"/>
      <c r="AC57" s="726"/>
      <c r="AD57" s="727"/>
      <c r="AE57" s="726"/>
      <c r="AF57" s="726"/>
      <c r="AG57" s="726"/>
      <c r="AH57" s="13"/>
    </row>
    <row r="58" spans="1:34" s="5" customFormat="1" ht="34.5" customHeight="1" thickTop="1">
      <c r="A58" s="944"/>
      <c r="B58" s="959" t="s">
        <v>61</v>
      </c>
      <c r="C58" s="960" t="s">
        <v>68</v>
      </c>
      <c r="D58" s="965">
        <f t="shared" ref="D58:E58" si="56">D59+D60+D61</f>
        <v>3696388</v>
      </c>
      <c r="E58" s="965">
        <f t="shared" si="56"/>
        <v>5922699</v>
      </c>
      <c r="F58" s="1013">
        <f>F59+F60+F61</f>
        <v>6456093</v>
      </c>
      <c r="G58" s="1013">
        <f>G59+G60+G61</f>
        <v>6456092.5</v>
      </c>
      <c r="H58" s="1057">
        <f t="shared" ref="H58:AG58" si="57">H59+H60+H61</f>
        <v>6998867</v>
      </c>
      <c r="I58" s="1012">
        <f t="shared" si="57"/>
        <v>10160865</v>
      </c>
      <c r="J58" s="965">
        <f t="shared" si="57"/>
        <v>4101396</v>
      </c>
      <c r="K58" s="965">
        <f t="shared" si="57"/>
        <v>5499418</v>
      </c>
      <c r="L58" s="965">
        <f t="shared" si="57"/>
        <v>7972714</v>
      </c>
      <c r="M58" s="965">
        <f t="shared" si="57"/>
        <v>7943402</v>
      </c>
      <c r="N58" s="965">
        <f t="shared" si="57"/>
        <v>7892407</v>
      </c>
      <c r="O58" s="965">
        <f t="shared" si="57"/>
        <v>8795589</v>
      </c>
      <c r="P58" s="965">
        <f t="shared" si="57"/>
        <v>7075246</v>
      </c>
      <c r="Q58" s="965">
        <f t="shared" si="57"/>
        <v>6018648</v>
      </c>
      <c r="R58" s="965">
        <f t="shared" si="57"/>
        <v>7867653</v>
      </c>
      <c r="S58" s="965">
        <f t="shared" si="57"/>
        <v>2670835</v>
      </c>
      <c r="T58" s="965">
        <f t="shared" si="57"/>
        <v>3042899</v>
      </c>
      <c r="U58" s="965">
        <f t="shared" ref="U58:Z58" si="58">U59+U60+U61</f>
        <v>1774404</v>
      </c>
      <c r="V58" s="965">
        <f t="shared" si="58"/>
        <v>1153846</v>
      </c>
      <c r="W58" s="965">
        <f t="shared" si="58"/>
        <v>1153846</v>
      </c>
      <c r="X58" s="707">
        <f t="shared" si="58"/>
        <v>0</v>
      </c>
      <c r="Y58" s="707">
        <f t="shared" si="58"/>
        <v>0</v>
      </c>
      <c r="Z58" s="707">
        <f t="shared" si="58"/>
        <v>0</v>
      </c>
      <c r="AA58" s="13"/>
      <c r="AB58" s="720">
        <f t="shared" si="57"/>
        <v>0</v>
      </c>
      <c r="AC58" s="707">
        <f t="shared" si="57"/>
        <v>0</v>
      </c>
      <c r="AD58" s="707">
        <f t="shared" si="57"/>
        <v>0</v>
      </c>
      <c r="AE58" s="707">
        <f t="shared" si="57"/>
        <v>0</v>
      </c>
      <c r="AF58" s="707">
        <f t="shared" si="57"/>
        <v>0</v>
      </c>
      <c r="AG58" s="707">
        <f t="shared" si="57"/>
        <v>0</v>
      </c>
      <c r="AH58" s="13"/>
    </row>
    <row r="59" spans="1:34" s="5" customFormat="1" ht="33" customHeight="1">
      <c r="A59" s="944"/>
      <c r="B59" s="959" t="s">
        <v>62</v>
      </c>
      <c r="C59" s="960" t="s">
        <v>69</v>
      </c>
      <c r="D59" s="1012">
        <v>2200000</v>
      </c>
      <c r="E59" s="1012">
        <v>2200000</v>
      </c>
      <c r="F59" s="1013">
        <v>2200000</v>
      </c>
      <c r="G59" s="1013">
        <v>2200000</v>
      </c>
      <c r="H59" s="963">
        <v>0</v>
      </c>
      <c r="I59" s="1012"/>
      <c r="J59" s="965"/>
      <c r="K59" s="1012">
        <f>'Planowane spłaty zobowiązań'!I26</f>
        <v>323077</v>
      </c>
      <c r="L59" s="1012">
        <f>'Planowane spłaty zobowiązań'!J26</f>
        <v>323077</v>
      </c>
      <c r="M59" s="1012">
        <f>'Planowane spłaty zobowiązań'!K26</f>
        <v>323077</v>
      </c>
      <c r="N59" s="1012">
        <f>'Planowane spłaty zobowiązań'!L26</f>
        <v>323077</v>
      </c>
      <c r="O59" s="1012">
        <f>'Planowane spłaty zobowiązań'!M26</f>
        <v>323077</v>
      </c>
      <c r="P59" s="1012">
        <f>'Planowane spłaty zobowiązań'!N26</f>
        <v>323077</v>
      </c>
      <c r="Q59" s="1012">
        <f>'Planowane spłaty zobowiązań'!O26</f>
        <v>323077</v>
      </c>
      <c r="R59" s="1012">
        <f>'Planowane spłaty zobowiązań'!P26</f>
        <v>323077</v>
      </c>
      <c r="S59" s="1012">
        <f>'Planowane spłaty zobowiązań'!Q26</f>
        <v>323077</v>
      </c>
      <c r="T59" s="1012">
        <f>'Planowane spłaty zobowiązań'!R26</f>
        <v>323077</v>
      </c>
      <c r="U59" s="1012">
        <f>'Planowane spłaty zobowiązań'!S26</f>
        <v>323077</v>
      </c>
      <c r="V59" s="1012">
        <f>'Planowane spłaty zobowiązań'!T26</f>
        <v>323077</v>
      </c>
      <c r="W59" s="1012">
        <f>'Planowane spłaty zobowiązań'!U26</f>
        <v>323076</v>
      </c>
      <c r="X59" s="720">
        <f>'Planowane spłaty zobowiązań'!V26</f>
        <v>0</v>
      </c>
      <c r="Y59" s="720">
        <f>'Planowane spłaty zobowiązań'!W26</f>
        <v>0</v>
      </c>
      <c r="Z59" s="720">
        <f>'Planowane spłaty zobowiązań'!X26</f>
        <v>0</v>
      </c>
      <c r="AA59" s="13"/>
      <c r="AB59" s="720"/>
      <c r="AC59" s="707"/>
      <c r="AD59" s="707"/>
      <c r="AE59" s="707"/>
      <c r="AF59" s="707"/>
      <c r="AG59" s="707"/>
      <c r="AH59" s="13"/>
    </row>
    <row r="60" spans="1:34" s="5" customFormat="1" ht="36" customHeight="1">
      <c r="A60" s="944"/>
      <c r="B60" s="959" t="s">
        <v>63</v>
      </c>
      <c r="C60" s="960" t="s">
        <v>70</v>
      </c>
      <c r="D60" s="1012">
        <v>496388</v>
      </c>
      <c r="E60" s="1012">
        <v>722699</v>
      </c>
      <c r="F60" s="1013">
        <v>706093</v>
      </c>
      <c r="G60" s="1013">
        <v>706092.5</v>
      </c>
      <c r="H60" s="963">
        <v>698867</v>
      </c>
      <c r="I60" s="1012">
        <f>'Planowane spłaty zobowiązań'!G8</f>
        <v>660865</v>
      </c>
      <c r="J60" s="1012">
        <f>'Planowane spłaty zobowiązań'!H8</f>
        <v>601396</v>
      </c>
      <c r="K60" s="1012">
        <f>'Planowane spłaty zobowiązań'!I8</f>
        <v>1276341</v>
      </c>
      <c r="L60" s="1012">
        <f>'Planowane spłaty zobowiązań'!J8</f>
        <v>1649637</v>
      </c>
      <c r="M60" s="1012">
        <f>'Planowane spłaty zobowiązań'!K8</f>
        <v>1620325</v>
      </c>
      <c r="N60" s="1012">
        <f>'Planowane spłaty zobowiązań'!L8</f>
        <v>1569330</v>
      </c>
      <c r="O60" s="1012">
        <f>'Planowane spłaty zobowiązań'!M8</f>
        <v>1472512</v>
      </c>
      <c r="P60" s="1012">
        <f>'Planowane spłaty zobowiązań'!N8</f>
        <v>1452169</v>
      </c>
      <c r="Q60" s="1012">
        <f>'Planowane spłaty zobowiązań'!O8</f>
        <v>1452169</v>
      </c>
      <c r="R60" s="1012">
        <f>'Planowane spłaty zobowiązań'!P8</f>
        <v>1452169</v>
      </c>
      <c r="S60" s="1012">
        <f>'Planowane spłaty zobowiązań'!Q8</f>
        <v>1452169</v>
      </c>
      <c r="T60" s="1012">
        <f>'Planowane spłaty zobowiązań'!R8</f>
        <v>1452169</v>
      </c>
      <c r="U60" s="1012">
        <f>'Planowane spłaty zobowiązań'!S8</f>
        <v>1451327</v>
      </c>
      <c r="V60" s="1012">
        <f>'Planowane spłaty zobowiązań'!T8</f>
        <v>830769</v>
      </c>
      <c r="W60" s="1012">
        <f>'Planowane spłaty zobowiązań'!U8</f>
        <v>830770</v>
      </c>
      <c r="X60" s="720">
        <f>'Planowane spłaty zobowiązań'!V8</f>
        <v>0</v>
      </c>
      <c r="Y60" s="720">
        <f>'Planowane spłaty zobowiązań'!W8</f>
        <v>0</v>
      </c>
      <c r="Z60" s="720">
        <f>'Planowane spłaty zobowiązań'!X8</f>
        <v>0</v>
      </c>
      <c r="AA60" s="13"/>
      <c r="AB60" s="720"/>
      <c r="AC60" s="707"/>
      <c r="AD60" s="707"/>
      <c r="AE60" s="707"/>
      <c r="AF60" s="707"/>
      <c r="AG60" s="707"/>
      <c r="AH60" s="13"/>
    </row>
    <row r="61" spans="1:34" s="5" customFormat="1" ht="34.5" customHeight="1">
      <c r="A61" s="944"/>
      <c r="B61" s="959" t="s">
        <v>64</v>
      </c>
      <c r="C61" s="960" t="s">
        <v>71</v>
      </c>
      <c r="D61" s="1012">
        <v>1000000</v>
      </c>
      <c r="E61" s="1012">
        <v>3000000</v>
      </c>
      <c r="F61" s="1013">
        <v>3550000</v>
      </c>
      <c r="G61" s="1013">
        <v>3550000</v>
      </c>
      <c r="H61" s="963">
        <v>6300000</v>
      </c>
      <c r="I61" s="1012">
        <f>'Planowane spłaty zobowiązań'!G27</f>
        <v>9500000</v>
      </c>
      <c r="J61" s="1012">
        <v>3500000</v>
      </c>
      <c r="K61" s="1012">
        <f>'Planowane spłaty zobowiązań'!I27</f>
        <v>3900000</v>
      </c>
      <c r="L61" s="1012">
        <f>'Planowane spłaty zobowiązań'!J27</f>
        <v>6000000</v>
      </c>
      <c r="M61" s="1012">
        <f>'Planowane spłaty zobowiązań'!K27</f>
        <v>6000000</v>
      </c>
      <c r="N61" s="1012">
        <f>'Planowane spłaty zobowiązań'!L27</f>
        <v>6000000</v>
      </c>
      <c r="O61" s="1012">
        <f>'Planowane spłaty zobowiązań'!M27</f>
        <v>7000000</v>
      </c>
      <c r="P61" s="1012">
        <f>'Planowane spłaty zobowiązań'!N27</f>
        <v>5300000</v>
      </c>
      <c r="Q61" s="1012">
        <f>'Planowane spłaty zobowiązań'!O27</f>
        <v>4243402</v>
      </c>
      <c r="R61" s="1012">
        <f>'Planowane spłaty zobowiązań'!P27</f>
        <v>6092407</v>
      </c>
      <c r="S61" s="1012">
        <f>'Planowane spłaty zobowiązań'!Q27</f>
        <v>895589</v>
      </c>
      <c r="T61" s="1012">
        <f>'Planowane spłaty zobowiązań'!R27</f>
        <v>1267653</v>
      </c>
      <c r="U61" s="1012">
        <f>'Planowane spłaty zobowiązań'!Z27</f>
        <v>0</v>
      </c>
      <c r="V61" s="1012">
        <f>'Planowane spłaty zobowiązań'!AA27</f>
        <v>0</v>
      </c>
      <c r="W61" s="1012">
        <f>'Planowane spłaty zobowiązań'!AB27</f>
        <v>0</v>
      </c>
      <c r="X61" s="720">
        <f>'Planowane spłaty zobowiązań'!AC27</f>
        <v>0</v>
      </c>
      <c r="Y61" s="720">
        <f>'Planowane spłaty zobowiązań'!AD27</f>
        <v>0</v>
      </c>
      <c r="Z61" s="720">
        <f>'Planowane spłaty zobowiązań'!AE27</f>
        <v>0</v>
      </c>
      <c r="AA61" s="13"/>
      <c r="AB61" s="720"/>
      <c r="AC61" s="707"/>
      <c r="AD61" s="707"/>
      <c r="AE61" s="707"/>
      <c r="AF61" s="707"/>
      <c r="AG61" s="707"/>
      <c r="AH61" s="13"/>
    </row>
    <row r="62" spans="1:34" s="5" customFormat="1" ht="33" customHeight="1">
      <c r="A62" s="944"/>
      <c r="B62" s="959" t="s">
        <v>65</v>
      </c>
      <c r="C62" s="960" t="s">
        <v>72</v>
      </c>
      <c r="D62" s="1012"/>
      <c r="E62" s="1012"/>
      <c r="F62" s="1013"/>
      <c r="G62" s="1013"/>
      <c r="H62" s="963"/>
      <c r="I62" s="1012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5"/>
      <c r="V62" s="965"/>
      <c r="W62" s="965"/>
      <c r="X62" s="707"/>
      <c r="Y62" s="707"/>
      <c r="Z62" s="707"/>
      <c r="AA62" s="13"/>
      <c r="AB62" s="720"/>
      <c r="AC62" s="707"/>
      <c r="AD62" s="707"/>
      <c r="AE62" s="707"/>
      <c r="AF62" s="707"/>
      <c r="AG62" s="707"/>
      <c r="AH62" s="13"/>
    </row>
    <row r="63" spans="1:34" s="5" customFormat="1" ht="67.5" customHeight="1" thickBot="1">
      <c r="A63" s="944"/>
      <c r="B63" s="959" t="s">
        <v>66</v>
      </c>
      <c r="C63" s="960" t="s">
        <v>73</v>
      </c>
      <c r="D63" s="1012"/>
      <c r="E63" s="1012"/>
      <c r="F63" s="1013"/>
      <c r="G63" s="1013"/>
      <c r="H63" s="1015"/>
      <c r="I63" s="1012"/>
      <c r="J63" s="965"/>
      <c r="K63" s="965"/>
      <c r="L63" s="965"/>
      <c r="M63" s="965"/>
      <c r="N63" s="965"/>
      <c r="O63" s="965"/>
      <c r="P63" s="965"/>
      <c r="Q63" s="965"/>
      <c r="R63" s="965"/>
      <c r="S63" s="965"/>
      <c r="T63" s="965"/>
      <c r="U63" s="965"/>
      <c r="V63" s="965"/>
      <c r="W63" s="965"/>
      <c r="X63" s="707"/>
      <c r="Y63" s="707"/>
      <c r="Z63" s="707"/>
      <c r="AA63" s="13"/>
      <c r="AB63" s="720"/>
      <c r="AC63" s="707"/>
      <c r="AD63" s="707"/>
      <c r="AE63" s="707"/>
      <c r="AF63" s="707"/>
      <c r="AG63" s="707"/>
      <c r="AH63" s="13"/>
    </row>
    <row r="64" spans="1:34" s="9" customFormat="1" ht="9.9499999999999993" customHeight="1" thickTop="1">
      <c r="A64" s="944"/>
      <c r="B64" s="1034"/>
      <c r="C64" s="1035"/>
      <c r="D64" s="1036"/>
      <c r="E64" s="1036"/>
      <c r="F64" s="1036"/>
      <c r="G64" s="1036"/>
      <c r="H64" s="1037"/>
      <c r="I64" s="1036"/>
      <c r="J64" s="1036"/>
      <c r="K64" s="1036"/>
      <c r="L64" s="1036"/>
      <c r="M64" s="1036"/>
      <c r="N64" s="1036"/>
      <c r="O64" s="1036"/>
      <c r="P64" s="1036"/>
      <c r="Q64" s="1036"/>
      <c r="R64" s="1036"/>
      <c r="S64" s="1036"/>
      <c r="T64" s="1036"/>
      <c r="U64" s="1036"/>
      <c r="V64" s="1036"/>
      <c r="W64" s="1036"/>
      <c r="X64" s="726"/>
      <c r="Y64" s="726"/>
      <c r="Z64" s="799"/>
      <c r="AA64" s="13"/>
      <c r="AB64" s="726"/>
      <c r="AC64" s="726"/>
      <c r="AD64" s="727"/>
      <c r="AE64" s="726"/>
      <c r="AF64" s="726"/>
      <c r="AG64" s="726"/>
      <c r="AH64" s="13"/>
    </row>
    <row r="65" spans="1:34" s="5" customFormat="1" ht="66" customHeight="1">
      <c r="A65" s="944"/>
      <c r="B65" s="1067" t="s">
        <v>74</v>
      </c>
      <c r="C65" s="1068" t="s">
        <v>76</v>
      </c>
      <c r="D65" s="1069">
        <v>32488617.789999999</v>
      </c>
      <c r="E65" s="1069">
        <v>43071537.270000003</v>
      </c>
      <c r="F65" s="1070">
        <v>46109828</v>
      </c>
      <c r="G65" s="1070">
        <v>46109826</v>
      </c>
      <c r="H65" s="1069">
        <f>G65+H47-H58+2000000</f>
        <v>48110959</v>
      </c>
      <c r="I65" s="1069">
        <f t="shared" ref="I65:T65" si="59">H65+I47-I58</f>
        <v>61217410</v>
      </c>
      <c r="J65" s="1069">
        <f t="shared" si="59"/>
        <v>65813971</v>
      </c>
      <c r="K65" s="1069">
        <f t="shared" si="59"/>
        <v>60862438</v>
      </c>
      <c r="L65" s="1069">
        <f t="shared" si="59"/>
        <v>52889724</v>
      </c>
      <c r="M65" s="1069">
        <f t="shared" si="59"/>
        <v>45189724</v>
      </c>
      <c r="N65" s="1069">
        <f t="shared" si="59"/>
        <v>37389724</v>
      </c>
      <c r="O65" s="1069">
        <f t="shared" si="59"/>
        <v>29489724</v>
      </c>
      <c r="P65" s="1069">
        <f t="shared" si="59"/>
        <v>22414478</v>
      </c>
      <c r="Q65" s="1069">
        <f t="shared" si="59"/>
        <v>16395830</v>
      </c>
      <c r="R65" s="1069">
        <f t="shared" si="59"/>
        <v>9795830</v>
      </c>
      <c r="S65" s="1069">
        <f t="shared" si="59"/>
        <v>7124995</v>
      </c>
      <c r="T65" s="1069">
        <f t="shared" si="59"/>
        <v>4082096</v>
      </c>
      <c r="U65" s="1069">
        <f t="shared" ref="U65:Z65" si="60">T65+U47-U58</f>
        <v>2307692</v>
      </c>
      <c r="V65" s="1069">
        <f t="shared" si="60"/>
        <v>1153846</v>
      </c>
      <c r="W65" s="1069">
        <f t="shared" si="60"/>
        <v>0</v>
      </c>
      <c r="X65" s="735">
        <f t="shared" si="60"/>
        <v>0</v>
      </c>
      <c r="Y65" s="735">
        <f t="shared" si="60"/>
        <v>0</v>
      </c>
      <c r="Z65" s="735">
        <f t="shared" si="60"/>
        <v>0</v>
      </c>
      <c r="AA65" s="13"/>
      <c r="AB65" s="735"/>
      <c r="AC65" s="736"/>
      <c r="AD65" s="736"/>
      <c r="AE65" s="736"/>
      <c r="AF65" s="736"/>
      <c r="AG65" s="736"/>
      <c r="AH65" s="13"/>
    </row>
    <row r="66" spans="1:34" s="5" customFormat="1" ht="9.9499999999999993" customHeight="1" thickBot="1">
      <c r="A66" s="944"/>
      <c r="B66" s="989"/>
      <c r="C66" s="990"/>
      <c r="D66" s="1022"/>
      <c r="E66" s="991"/>
      <c r="F66" s="991"/>
      <c r="G66" s="991"/>
      <c r="H66" s="1071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710"/>
      <c r="Y66" s="710"/>
      <c r="Z66" s="705"/>
      <c r="AA66" s="13"/>
      <c r="AB66" s="710"/>
      <c r="AC66" s="710"/>
      <c r="AD66" s="710"/>
      <c r="AE66" s="710"/>
      <c r="AF66" s="710"/>
      <c r="AG66" s="710"/>
      <c r="AH66" s="13"/>
    </row>
    <row r="67" spans="1:34" s="5" customFormat="1" ht="60" customHeight="1" thickTop="1">
      <c r="A67" s="944"/>
      <c r="B67" s="959" t="s">
        <v>75</v>
      </c>
      <c r="C67" s="771" t="s">
        <v>101</v>
      </c>
      <c r="D67" s="1072"/>
      <c r="E67" s="1012"/>
      <c r="F67" s="1073"/>
      <c r="G67" s="1073"/>
      <c r="H67" s="1074"/>
      <c r="I67" s="1012"/>
      <c r="J67" s="965"/>
      <c r="K67" s="1075"/>
      <c r="L67" s="1075"/>
      <c r="M67" s="1075"/>
      <c r="N67" s="1075"/>
      <c r="O67" s="1075"/>
      <c r="P67" s="1075"/>
      <c r="Q67" s="1075"/>
      <c r="R67" s="1075"/>
      <c r="S67" s="1075"/>
      <c r="T67" s="1075"/>
      <c r="U67" s="1075"/>
      <c r="V67" s="1075"/>
      <c r="W67" s="1075"/>
      <c r="X67" s="737"/>
      <c r="Y67" s="737"/>
      <c r="Z67" s="737"/>
      <c r="AA67" s="13"/>
      <c r="AB67" s="705"/>
      <c r="AC67" s="737"/>
      <c r="AD67" s="737"/>
      <c r="AE67" s="737"/>
      <c r="AF67" s="737"/>
      <c r="AG67" s="737"/>
      <c r="AH67" s="13"/>
    </row>
    <row r="68" spans="1:34" s="9" customFormat="1" ht="26.25">
      <c r="A68" s="944"/>
      <c r="B68" s="959"/>
      <c r="C68" s="771" t="s">
        <v>4</v>
      </c>
      <c r="D68" s="1076"/>
      <c r="E68" s="1058"/>
      <c r="F68" s="1077"/>
      <c r="G68" s="1077"/>
      <c r="H68" s="1078"/>
      <c r="I68" s="1079"/>
      <c r="J68" s="1080"/>
      <c r="K68" s="1080"/>
      <c r="L68" s="1080"/>
      <c r="M68" s="1080"/>
      <c r="N68" s="1080"/>
      <c r="O68" s="1080"/>
      <c r="P68" s="1080"/>
      <c r="Q68" s="1080"/>
      <c r="R68" s="1080"/>
      <c r="S68" s="1080"/>
      <c r="T68" s="1080"/>
      <c r="U68" s="1080"/>
      <c r="V68" s="1080"/>
      <c r="W68" s="1080"/>
      <c r="X68" s="739"/>
      <c r="Y68" s="739"/>
      <c r="Z68" s="739"/>
      <c r="AA68" s="13"/>
      <c r="AB68" s="738"/>
      <c r="AC68" s="739"/>
      <c r="AD68" s="739"/>
      <c r="AE68" s="739"/>
      <c r="AF68" s="739"/>
      <c r="AG68" s="739"/>
      <c r="AH68" s="13"/>
    </row>
    <row r="69" spans="1:34" s="9" customFormat="1" ht="36">
      <c r="A69" s="944"/>
      <c r="B69" s="959"/>
      <c r="C69" s="771" t="s">
        <v>365</v>
      </c>
      <c r="D69" s="1072"/>
      <c r="E69" s="1012"/>
      <c r="F69" s="1073"/>
      <c r="G69" s="1073"/>
      <c r="H69" s="1081"/>
      <c r="I69" s="960"/>
      <c r="J69" s="1075"/>
      <c r="K69" s="1075"/>
      <c r="L69" s="1075"/>
      <c r="M69" s="1075"/>
      <c r="N69" s="1075"/>
      <c r="O69" s="1075"/>
      <c r="P69" s="1075"/>
      <c r="Q69" s="1075"/>
      <c r="R69" s="1075"/>
      <c r="S69" s="1075"/>
      <c r="T69" s="1075"/>
      <c r="U69" s="1075"/>
      <c r="V69" s="1075"/>
      <c r="W69" s="1075"/>
      <c r="X69" s="737"/>
      <c r="Y69" s="737"/>
      <c r="Z69" s="737"/>
      <c r="AA69" s="13"/>
      <c r="AB69" s="705"/>
      <c r="AC69" s="737"/>
      <c r="AD69" s="737"/>
      <c r="AE69" s="737"/>
      <c r="AF69" s="737"/>
      <c r="AG69" s="740" t="s">
        <v>5</v>
      </c>
      <c r="AH69" s="13"/>
    </row>
    <row r="70" spans="1:34" s="9" customFormat="1" ht="26.25">
      <c r="A70" s="944"/>
      <c r="B70" s="959"/>
      <c r="C70" s="771" t="s">
        <v>366</v>
      </c>
      <c r="D70" s="1072"/>
      <c r="E70" s="1012"/>
      <c r="F70" s="1073"/>
      <c r="G70" s="1073"/>
      <c r="H70" s="1081"/>
      <c r="I70" s="960"/>
      <c r="J70" s="1075"/>
      <c r="K70" s="1075"/>
      <c r="L70" s="1075"/>
      <c r="M70" s="1075"/>
      <c r="N70" s="1075"/>
      <c r="O70" s="1075"/>
      <c r="P70" s="1075"/>
      <c r="Q70" s="1075"/>
      <c r="R70" s="1075"/>
      <c r="S70" s="1075"/>
      <c r="T70" s="1075"/>
      <c r="U70" s="1075"/>
      <c r="V70" s="1075"/>
      <c r="W70" s="1075"/>
      <c r="X70" s="737"/>
      <c r="Y70" s="737"/>
      <c r="Z70" s="737"/>
      <c r="AA70" s="13"/>
      <c r="AB70" s="705"/>
      <c r="AC70" s="737"/>
      <c r="AD70" s="737"/>
      <c r="AE70" s="737"/>
      <c r="AF70" s="737"/>
      <c r="AG70" s="740" t="s">
        <v>5</v>
      </c>
      <c r="AH70" s="13"/>
    </row>
    <row r="71" spans="1:34" s="9" customFormat="1" ht="26.25">
      <c r="A71" s="944"/>
      <c r="B71" s="959"/>
      <c r="C71" s="771" t="s">
        <v>367</v>
      </c>
      <c r="D71" s="1072"/>
      <c r="E71" s="1012"/>
      <c r="F71" s="1073"/>
      <c r="G71" s="1073"/>
      <c r="H71" s="1081"/>
      <c r="I71" s="960"/>
      <c r="J71" s="1075"/>
      <c r="K71" s="1075"/>
      <c r="L71" s="1075"/>
      <c r="M71" s="1075"/>
      <c r="N71" s="1075"/>
      <c r="O71" s="1075"/>
      <c r="P71" s="1075"/>
      <c r="Q71" s="1075"/>
      <c r="R71" s="1075"/>
      <c r="S71" s="1075"/>
      <c r="T71" s="1075"/>
      <c r="U71" s="1075"/>
      <c r="V71" s="1075"/>
      <c r="W71" s="1075"/>
      <c r="X71" s="737"/>
      <c r="Y71" s="737"/>
      <c r="Z71" s="737"/>
      <c r="AA71" s="13"/>
      <c r="AB71" s="705"/>
      <c r="AC71" s="737"/>
      <c r="AD71" s="737"/>
      <c r="AE71" s="737"/>
      <c r="AF71" s="737"/>
      <c r="AG71" s="740" t="s">
        <v>5</v>
      </c>
      <c r="AH71" s="13"/>
    </row>
    <row r="72" spans="1:34" s="9" customFormat="1" ht="36">
      <c r="A72" s="944"/>
      <c r="B72" s="959"/>
      <c r="C72" s="771" t="s">
        <v>368</v>
      </c>
      <c r="D72" s="1072"/>
      <c r="E72" s="1012"/>
      <c r="F72" s="1073"/>
      <c r="G72" s="1073"/>
      <c r="H72" s="1081"/>
      <c r="I72" s="960"/>
      <c r="J72" s="1075"/>
      <c r="K72" s="1075"/>
      <c r="L72" s="1075"/>
      <c r="M72" s="1075"/>
      <c r="N72" s="1075"/>
      <c r="O72" s="1075"/>
      <c r="P72" s="1075"/>
      <c r="Q72" s="1075"/>
      <c r="R72" s="1075"/>
      <c r="S72" s="1075"/>
      <c r="T72" s="1075"/>
      <c r="U72" s="1075"/>
      <c r="V72" s="1075"/>
      <c r="W72" s="1075"/>
      <c r="X72" s="737"/>
      <c r="Y72" s="737"/>
      <c r="Z72" s="737"/>
      <c r="AA72" s="13"/>
      <c r="AB72" s="705"/>
      <c r="AC72" s="737"/>
      <c r="AD72" s="737"/>
      <c r="AE72" s="737"/>
      <c r="AF72" s="737"/>
      <c r="AG72" s="737"/>
      <c r="AH72" s="13"/>
    </row>
    <row r="73" spans="1:34" s="9" customFormat="1" ht="27" thickBot="1">
      <c r="A73" s="944"/>
      <c r="B73" s="959"/>
      <c r="C73" s="771" t="s">
        <v>369</v>
      </c>
      <c r="D73" s="1072"/>
      <c r="E73" s="1012"/>
      <c r="F73" s="1073"/>
      <c r="G73" s="1073"/>
      <c r="H73" s="1082"/>
      <c r="I73" s="960"/>
      <c r="J73" s="1075"/>
      <c r="K73" s="1075"/>
      <c r="L73" s="1075"/>
      <c r="M73" s="1075"/>
      <c r="N73" s="1075"/>
      <c r="O73" s="1075"/>
      <c r="P73" s="1075"/>
      <c r="Q73" s="1075"/>
      <c r="R73" s="1075"/>
      <c r="S73" s="1075"/>
      <c r="T73" s="1075"/>
      <c r="U73" s="1075"/>
      <c r="V73" s="1075"/>
      <c r="W73" s="1075"/>
      <c r="X73" s="737"/>
      <c r="Y73" s="737"/>
      <c r="Z73" s="737"/>
      <c r="AA73" s="13"/>
      <c r="AB73" s="705"/>
      <c r="AC73" s="737"/>
      <c r="AD73" s="737"/>
      <c r="AE73" s="737"/>
      <c r="AF73" s="737"/>
      <c r="AG73" s="737"/>
      <c r="AH73" s="13"/>
    </row>
    <row r="74" spans="1:34" s="9" customFormat="1" ht="21.75" customHeight="1" thickTop="1">
      <c r="A74" s="944"/>
      <c r="B74" s="1034"/>
      <c r="C74" s="1149" t="s">
        <v>473</v>
      </c>
      <c r="D74" s="1083">
        <f t="shared" ref="D74:Z74" si="61">D8+D45-D9-D56</f>
        <v>-153571.30000001192</v>
      </c>
      <c r="E74" s="1083">
        <f t="shared" si="61"/>
        <v>348486.12999999523</v>
      </c>
      <c r="F74" s="1083">
        <f t="shared" si="61"/>
        <v>-2853626</v>
      </c>
      <c r="G74" s="1083">
        <f t="shared" si="61"/>
        <v>1543044.6100000143</v>
      </c>
      <c r="H74" s="910">
        <f t="shared" si="61"/>
        <v>0</v>
      </c>
      <c r="I74" s="909">
        <f t="shared" si="61"/>
        <v>0</v>
      </c>
      <c r="J74" s="909">
        <f t="shared" si="61"/>
        <v>0</v>
      </c>
      <c r="K74" s="909">
        <f t="shared" si="61"/>
        <v>0</v>
      </c>
      <c r="L74" s="909">
        <f t="shared" si="61"/>
        <v>0</v>
      </c>
      <c r="M74" s="909">
        <f t="shared" si="61"/>
        <v>0</v>
      </c>
      <c r="N74" s="909">
        <f t="shared" si="61"/>
        <v>0</v>
      </c>
      <c r="O74" s="909">
        <f t="shared" si="61"/>
        <v>0</v>
      </c>
      <c r="P74" s="909">
        <f t="shared" si="61"/>
        <v>0</v>
      </c>
      <c r="Q74" s="909">
        <f t="shared" si="61"/>
        <v>0</v>
      </c>
      <c r="R74" s="909">
        <f t="shared" si="61"/>
        <v>0</v>
      </c>
      <c r="S74" s="909">
        <f t="shared" si="61"/>
        <v>0</v>
      </c>
      <c r="T74" s="909">
        <f t="shared" si="61"/>
        <v>0</v>
      </c>
      <c r="U74" s="909">
        <f t="shared" si="61"/>
        <v>0</v>
      </c>
      <c r="V74" s="909">
        <f t="shared" si="61"/>
        <v>0</v>
      </c>
      <c r="W74" s="909">
        <f t="shared" si="61"/>
        <v>0</v>
      </c>
      <c r="X74" s="741">
        <f t="shared" si="61"/>
        <v>-4486216</v>
      </c>
      <c r="Y74" s="741">
        <f t="shared" si="61"/>
        <v>-4486216</v>
      </c>
      <c r="Z74" s="800">
        <f t="shared" si="61"/>
        <v>-4993205</v>
      </c>
      <c r="AA74" s="13"/>
      <c r="AB74" s="742"/>
      <c r="AC74" s="742"/>
      <c r="AD74" s="742"/>
      <c r="AE74" s="742"/>
      <c r="AF74" s="742"/>
      <c r="AG74" s="742"/>
      <c r="AH74" s="13"/>
    </row>
    <row r="75" spans="1:34" s="11" customFormat="1" ht="30" hidden="1" customHeight="1">
      <c r="A75" s="1084"/>
      <c r="B75" s="1085"/>
      <c r="C75" s="1086" t="s">
        <v>6</v>
      </c>
      <c r="D75" s="1087"/>
      <c r="E75" s="1087"/>
      <c r="F75" s="1088"/>
      <c r="G75" s="1088"/>
      <c r="H75" s="1089"/>
      <c r="I75" s="1089"/>
      <c r="J75" s="1089"/>
      <c r="K75" s="1089"/>
      <c r="L75" s="1089"/>
      <c r="M75" s="1089"/>
      <c r="N75" s="1089"/>
      <c r="O75" s="1089"/>
      <c r="P75" s="1089"/>
      <c r="Q75" s="1089">
        <v>0</v>
      </c>
      <c r="R75" s="1089"/>
      <c r="S75" s="1089"/>
      <c r="T75" s="1089"/>
      <c r="U75" s="1089"/>
      <c r="V75" s="1089"/>
      <c r="W75" s="1089"/>
      <c r="X75" s="743"/>
      <c r="Y75" s="743"/>
      <c r="Z75" s="801"/>
      <c r="AA75" s="15"/>
      <c r="AB75" s="744"/>
      <c r="AC75" s="744"/>
      <c r="AD75" s="744"/>
      <c r="AE75" s="744"/>
      <c r="AF75" s="744"/>
      <c r="AG75" s="744"/>
      <c r="AH75" s="15"/>
    </row>
    <row r="76" spans="1:34" s="11" customFormat="1" ht="26.25" hidden="1">
      <c r="A76" s="1084"/>
      <c r="B76" s="1085"/>
      <c r="C76" s="1090" t="s">
        <v>381</v>
      </c>
      <c r="D76" s="1090"/>
      <c r="E76" s="1090"/>
      <c r="F76" s="1091"/>
      <c r="G76" s="1091"/>
      <c r="H76" s="1091">
        <f>H39</f>
        <v>0</v>
      </c>
      <c r="I76" s="1091">
        <f t="shared" ref="I76:AG76" si="62">I39</f>
        <v>0</v>
      </c>
      <c r="J76" s="1091">
        <f t="shared" si="62"/>
        <v>0</v>
      </c>
      <c r="K76" s="1091">
        <v>0</v>
      </c>
      <c r="L76" s="1091">
        <v>0</v>
      </c>
      <c r="M76" s="1091">
        <v>0</v>
      </c>
      <c r="N76" s="1091">
        <v>0</v>
      </c>
      <c r="O76" s="1091">
        <v>0</v>
      </c>
      <c r="P76" s="1091">
        <v>0</v>
      </c>
      <c r="Q76" s="1091">
        <v>0</v>
      </c>
      <c r="R76" s="1091">
        <v>0</v>
      </c>
      <c r="S76" s="1091">
        <v>0</v>
      </c>
      <c r="T76" s="1091">
        <v>0</v>
      </c>
      <c r="U76" s="1091">
        <v>0</v>
      </c>
      <c r="V76" s="1091">
        <v>0</v>
      </c>
      <c r="W76" s="1091">
        <v>0</v>
      </c>
      <c r="X76" s="745">
        <f t="shared" ref="X76:Z76" si="63">X39</f>
        <v>-4486216</v>
      </c>
      <c r="Y76" s="745">
        <f t="shared" si="63"/>
        <v>1013784</v>
      </c>
      <c r="Z76" s="745">
        <f t="shared" si="63"/>
        <v>506795</v>
      </c>
      <c r="AA76" s="15"/>
      <c r="AB76" s="802">
        <f t="shared" si="62"/>
        <v>-1200000</v>
      </c>
      <c r="AC76" s="746">
        <f t="shared" si="62"/>
        <v>-1300000</v>
      </c>
      <c r="AD76" s="746">
        <f t="shared" si="62"/>
        <v>-1300000</v>
      </c>
      <c r="AE76" s="746">
        <f t="shared" si="62"/>
        <v>-1300000</v>
      </c>
      <c r="AF76" s="746">
        <f t="shared" si="62"/>
        <v>-1300000</v>
      </c>
      <c r="AG76" s="746">
        <f t="shared" si="62"/>
        <v>-1300000</v>
      </c>
      <c r="AH76" s="15"/>
    </row>
    <row r="77" spans="1:34" s="11" customFormat="1" ht="26.25" hidden="1">
      <c r="A77" s="1084"/>
      <c r="B77" s="1085"/>
      <c r="C77" s="1090" t="s">
        <v>7</v>
      </c>
      <c r="D77" s="1090"/>
      <c r="E77" s="1090"/>
      <c r="F77" s="1091"/>
      <c r="G77" s="1091"/>
      <c r="H77" s="1091">
        <f>H53</f>
        <v>2574058</v>
      </c>
      <c r="I77" s="1091">
        <f t="shared" ref="I77:AG77" si="64">I53</f>
        <v>0</v>
      </c>
      <c r="J77" s="1091">
        <f t="shared" si="64"/>
        <v>0</v>
      </c>
      <c r="K77" s="1091">
        <f t="shared" si="64"/>
        <v>0</v>
      </c>
      <c r="L77" s="1091">
        <f t="shared" si="64"/>
        <v>0</v>
      </c>
      <c r="M77" s="1091">
        <f t="shared" si="64"/>
        <v>0</v>
      </c>
      <c r="N77" s="1091">
        <f t="shared" si="64"/>
        <v>0</v>
      </c>
      <c r="O77" s="1091">
        <f t="shared" si="64"/>
        <v>0</v>
      </c>
      <c r="P77" s="1091">
        <f t="shared" si="64"/>
        <v>0</v>
      </c>
      <c r="Q77" s="1091">
        <f t="shared" si="64"/>
        <v>0</v>
      </c>
      <c r="R77" s="1091">
        <f t="shared" si="64"/>
        <v>0</v>
      </c>
      <c r="S77" s="1091">
        <f t="shared" si="64"/>
        <v>0</v>
      </c>
      <c r="T77" s="1091">
        <f t="shared" si="64"/>
        <v>0</v>
      </c>
      <c r="U77" s="1091">
        <f t="shared" ref="U77:Z77" si="65">U53</f>
        <v>0</v>
      </c>
      <c r="V77" s="1091">
        <f t="shared" si="65"/>
        <v>0</v>
      </c>
      <c r="W77" s="1091">
        <f t="shared" si="65"/>
        <v>0</v>
      </c>
      <c r="X77" s="745">
        <f t="shared" si="65"/>
        <v>0</v>
      </c>
      <c r="Y77" s="745">
        <f t="shared" si="65"/>
        <v>0</v>
      </c>
      <c r="Z77" s="745">
        <f t="shared" si="65"/>
        <v>0</v>
      </c>
      <c r="AA77" s="15"/>
      <c r="AB77" s="802">
        <f t="shared" si="64"/>
        <v>0</v>
      </c>
      <c r="AC77" s="746">
        <f t="shared" si="64"/>
        <v>0</v>
      </c>
      <c r="AD77" s="746">
        <f t="shared" si="64"/>
        <v>0</v>
      </c>
      <c r="AE77" s="746">
        <f t="shared" si="64"/>
        <v>0</v>
      </c>
      <c r="AF77" s="746">
        <f t="shared" si="64"/>
        <v>0</v>
      </c>
      <c r="AG77" s="746">
        <f t="shared" si="64"/>
        <v>0</v>
      </c>
      <c r="AH77" s="15"/>
    </row>
    <row r="78" spans="1:34" s="11" customFormat="1" ht="26.25" hidden="1">
      <c r="A78" s="1084"/>
      <c r="B78" s="1085"/>
      <c r="C78" s="1090" t="s">
        <v>8</v>
      </c>
      <c r="D78" s="1090"/>
      <c r="E78" s="1090"/>
      <c r="F78" s="1091"/>
      <c r="G78" s="1091"/>
      <c r="H78" s="1091">
        <f>H76+H77</f>
        <v>2574058</v>
      </c>
      <c r="I78" s="1091">
        <f t="shared" ref="I78:AG78" si="66">I76+I77</f>
        <v>0</v>
      </c>
      <c r="J78" s="1091">
        <f t="shared" si="66"/>
        <v>0</v>
      </c>
      <c r="K78" s="1091">
        <f t="shared" si="66"/>
        <v>0</v>
      </c>
      <c r="L78" s="1091">
        <f t="shared" si="66"/>
        <v>0</v>
      </c>
      <c r="M78" s="1091">
        <f t="shared" si="66"/>
        <v>0</v>
      </c>
      <c r="N78" s="1091">
        <f t="shared" si="66"/>
        <v>0</v>
      </c>
      <c r="O78" s="1091">
        <f t="shared" si="66"/>
        <v>0</v>
      </c>
      <c r="P78" s="1091">
        <f t="shared" si="66"/>
        <v>0</v>
      </c>
      <c r="Q78" s="1091">
        <f t="shared" si="66"/>
        <v>0</v>
      </c>
      <c r="R78" s="1091">
        <f t="shared" si="66"/>
        <v>0</v>
      </c>
      <c r="S78" s="1091">
        <f t="shared" si="66"/>
        <v>0</v>
      </c>
      <c r="T78" s="1091">
        <f t="shared" si="66"/>
        <v>0</v>
      </c>
      <c r="U78" s="1091">
        <f t="shared" ref="U78:Z78" si="67">U76+U77</f>
        <v>0</v>
      </c>
      <c r="V78" s="1091">
        <f t="shared" si="67"/>
        <v>0</v>
      </c>
      <c r="W78" s="1091">
        <f t="shared" si="67"/>
        <v>0</v>
      </c>
      <c r="X78" s="745">
        <f t="shared" si="67"/>
        <v>-4486216</v>
      </c>
      <c r="Y78" s="745">
        <f t="shared" si="67"/>
        <v>1013784</v>
      </c>
      <c r="Z78" s="745">
        <f t="shared" si="67"/>
        <v>506795</v>
      </c>
      <c r="AA78" s="15"/>
      <c r="AB78" s="802">
        <f t="shared" si="66"/>
        <v>-1200000</v>
      </c>
      <c r="AC78" s="746">
        <f t="shared" si="66"/>
        <v>-1300000</v>
      </c>
      <c r="AD78" s="746">
        <f t="shared" si="66"/>
        <v>-1300000</v>
      </c>
      <c r="AE78" s="746">
        <f t="shared" si="66"/>
        <v>-1300000</v>
      </c>
      <c r="AF78" s="746">
        <f t="shared" si="66"/>
        <v>-1300000</v>
      </c>
      <c r="AG78" s="746">
        <f t="shared" si="66"/>
        <v>-1300000</v>
      </c>
      <c r="AH78" s="15"/>
    </row>
    <row r="79" spans="1:34" s="9" customFormat="1" ht="20.25" customHeight="1">
      <c r="A79" s="944"/>
      <c r="B79" s="1092"/>
      <c r="C79" s="1093"/>
      <c r="D79" s="1094"/>
      <c r="E79" s="1094"/>
      <c r="F79" s="1095"/>
      <c r="G79" s="1095"/>
      <c r="H79" s="1096"/>
      <c r="I79" s="1096"/>
      <c r="J79" s="1096"/>
      <c r="K79" s="1096"/>
      <c r="L79" s="1096"/>
      <c r="M79" s="1096"/>
      <c r="N79" s="1096"/>
      <c r="O79" s="1096"/>
      <c r="P79" s="1096"/>
      <c r="Q79" s="1096"/>
      <c r="R79" s="1096"/>
      <c r="S79" s="1096"/>
      <c r="T79" s="1096"/>
      <c r="U79" s="1096"/>
      <c r="V79" s="1096"/>
      <c r="W79" s="1096"/>
      <c r="X79" s="748"/>
      <c r="Y79" s="748"/>
      <c r="Z79" s="747"/>
      <c r="AA79" s="13"/>
      <c r="AB79" s="748"/>
      <c r="AC79" s="748"/>
      <c r="AD79" s="748"/>
      <c r="AE79" s="748"/>
      <c r="AF79" s="748"/>
      <c r="AG79" s="748"/>
      <c r="AH79" s="13"/>
    </row>
    <row r="80" spans="1:34" s="9" customFormat="1" ht="33.75" customHeight="1">
      <c r="A80" s="944"/>
      <c r="B80" s="1097"/>
      <c r="C80" s="1146" t="s">
        <v>9</v>
      </c>
      <c r="D80" s="1098"/>
      <c r="E80" s="1098"/>
      <c r="F80" s="1095"/>
      <c r="G80" s="1095"/>
      <c r="H80" s="1096"/>
      <c r="I80" s="1096"/>
      <c r="J80" s="1096"/>
      <c r="K80" s="1096"/>
      <c r="L80" s="1096"/>
      <c r="M80" s="1096"/>
      <c r="N80" s="1096"/>
      <c r="O80" s="1096"/>
      <c r="P80" s="1096"/>
      <c r="Q80" s="1096"/>
      <c r="R80" s="1096"/>
      <c r="S80" s="1096"/>
      <c r="T80" s="1096"/>
      <c r="U80" s="1096"/>
      <c r="V80" s="1096"/>
      <c r="W80" s="1096"/>
      <c r="X80" s="748"/>
      <c r="Y80" s="748"/>
      <c r="Z80" s="747"/>
      <c r="AA80" s="13"/>
      <c r="AB80" s="748"/>
      <c r="AC80" s="748"/>
      <c r="AD80" s="748"/>
      <c r="AE80" s="748"/>
      <c r="AF80" s="748"/>
      <c r="AG80" s="748"/>
      <c r="AH80" s="13"/>
    </row>
    <row r="81" spans="1:34" s="9" customFormat="1" ht="9.9499999999999993" customHeight="1">
      <c r="A81" s="944"/>
      <c r="B81" s="1099"/>
      <c r="C81" s="1147"/>
      <c r="D81" s="1100"/>
      <c r="E81" s="1100"/>
      <c r="F81" s="1095"/>
      <c r="G81" s="1095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748"/>
      <c r="Y81" s="748"/>
      <c r="Z81" s="747"/>
      <c r="AA81" s="13"/>
      <c r="AB81" s="748"/>
      <c r="AC81" s="748"/>
      <c r="AD81" s="748"/>
      <c r="AE81" s="748"/>
      <c r="AF81" s="748"/>
      <c r="AG81" s="748"/>
      <c r="AH81" s="13"/>
    </row>
    <row r="82" spans="1:34" s="9" customFormat="1" ht="37.5" customHeight="1">
      <c r="A82" s="944"/>
      <c r="B82" s="1099"/>
      <c r="C82" s="1148" t="s">
        <v>10</v>
      </c>
      <c r="D82" s="1101"/>
      <c r="E82" s="1101"/>
      <c r="F82" s="1095"/>
      <c r="G82" s="1095"/>
      <c r="H82" s="1096"/>
      <c r="I82" s="1096"/>
      <c r="J82" s="1096"/>
      <c r="K82" s="1096"/>
      <c r="L82" s="1096"/>
      <c r="M82" s="1096"/>
      <c r="N82" s="1096"/>
      <c r="O82" s="1096"/>
      <c r="P82" s="1096"/>
      <c r="Q82" s="1096"/>
      <c r="R82" s="1096"/>
      <c r="S82" s="1096"/>
      <c r="T82" s="1096"/>
      <c r="U82" s="1096"/>
      <c r="V82" s="1096"/>
      <c r="W82" s="1096"/>
      <c r="X82" s="748"/>
      <c r="Y82" s="748"/>
      <c r="Z82" s="747"/>
      <c r="AA82" s="13"/>
      <c r="AB82" s="748"/>
      <c r="AC82" s="748"/>
      <c r="AD82" s="748"/>
      <c r="AE82" s="748"/>
      <c r="AF82" s="748"/>
      <c r="AG82" s="748"/>
      <c r="AH82" s="13"/>
    </row>
    <row r="83" spans="1:34" s="9" customFormat="1" ht="9.9499999999999993" customHeight="1" thickBot="1">
      <c r="A83" s="944"/>
      <c r="B83" s="1099"/>
      <c r="C83" s="1100"/>
      <c r="D83" s="1100"/>
      <c r="E83" s="1100"/>
      <c r="F83" s="1095"/>
      <c r="G83" s="1095"/>
      <c r="H83" s="1096"/>
      <c r="I83" s="1096"/>
      <c r="J83" s="1096"/>
      <c r="K83" s="1096"/>
      <c r="L83" s="1096"/>
      <c r="M83" s="1096"/>
      <c r="N83" s="1096"/>
      <c r="O83" s="1096"/>
      <c r="P83" s="1096"/>
      <c r="Q83" s="1096"/>
      <c r="R83" s="1096"/>
      <c r="S83" s="1096"/>
      <c r="T83" s="1096"/>
      <c r="U83" s="1096"/>
      <c r="V83" s="1096"/>
      <c r="W83" s="1096"/>
      <c r="X83" s="748"/>
      <c r="Y83" s="748"/>
      <c r="Z83" s="747"/>
      <c r="AA83" s="13"/>
      <c r="AB83" s="748"/>
      <c r="AC83" s="748"/>
      <c r="AD83" s="748"/>
      <c r="AE83" s="748"/>
      <c r="AF83" s="748"/>
      <c r="AG83" s="748"/>
      <c r="AH83" s="13"/>
    </row>
    <row r="84" spans="1:34" s="9" customFormat="1" ht="25.5" customHeight="1" thickTop="1">
      <c r="A84" s="944"/>
      <c r="B84" s="1092"/>
      <c r="C84" s="1102" t="s">
        <v>11</v>
      </c>
      <c r="D84" s="1103"/>
      <c r="E84" s="1103"/>
      <c r="F84" s="1104"/>
      <c r="G84" s="1104"/>
      <c r="H84" s="1105">
        <f t="shared" ref="H84:Z84" si="68">ROUND((SUM(H18+H20+H56)/H8*100),2)</f>
        <v>7.51</v>
      </c>
      <c r="I84" s="1106">
        <f t="shared" si="68"/>
        <v>7.81</v>
      </c>
      <c r="J84" s="1107">
        <f t="shared" si="68"/>
        <v>5.31</v>
      </c>
      <c r="K84" s="1108">
        <f t="shared" si="68"/>
        <v>7</v>
      </c>
      <c r="L84" s="1107">
        <f t="shared" si="68"/>
        <v>8.0500000000000007</v>
      </c>
      <c r="M84" s="1107">
        <f t="shared" si="68"/>
        <v>7.66</v>
      </c>
      <c r="N84" s="1107">
        <f t="shared" si="68"/>
        <v>7.19</v>
      </c>
      <c r="O84" s="1107">
        <f t="shared" si="68"/>
        <v>7.36</v>
      </c>
      <c r="P84" s="1107">
        <f t="shared" si="68"/>
        <v>6.05</v>
      </c>
      <c r="Q84" s="1107">
        <f t="shared" si="68"/>
        <v>4.74</v>
      </c>
      <c r="R84" s="1107">
        <f t="shared" si="68"/>
        <v>4.6100000000000003</v>
      </c>
      <c r="S84" s="1107">
        <f t="shared" si="68"/>
        <v>1.59</v>
      </c>
      <c r="T84" s="1107">
        <f t="shared" si="68"/>
        <v>1.65</v>
      </c>
      <c r="U84" s="1107">
        <f t="shared" si="68"/>
        <v>0.96</v>
      </c>
      <c r="V84" s="1107">
        <f t="shared" si="68"/>
        <v>0.61</v>
      </c>
      <c r="W84" s="1107">
        <f t="shared" si="68"/>
        <v>0.59</v>
      </c>
      <c r="X84" s="749">
        <f t="shared" si="68"/>
        <v>0</v>
      </c>
      <c r="Y84" s="749">
        <f t="shared" si="68"/>
        <v>0</v>
      </c>
      <c r="Z84" s="749">
        <f t="shared" si="68"/>
        <v>0</v>
      </c>
      <c r="AA84" s="13"/>
      <c r="AB84" s="761">
        <v>1.29</v>
      </c>
      <c r="AC84" s="750">
        <v>1.29</v>
      </c>
      <c r="AD84" s="750">
        <v>1.29</v>
      </c>
      <c r="AE84" s="750">
        <v>1.29</v>
      </c>
      <c r="AF84" s="750">
        <v>1.29</v>
      </c>
      <c r="AG84" s="750" t="s">
        <v>5</v>
      </c>
      <c r="AH84" s="13"/>
    </row>
    <row r="85" spans="1:34" s="9" customFormat="1" ht="25.5" customHeight="1">
      <c r="A85" s="944"/>
      <c r="B85" s="1109"/>
      <c r="C85" s="1110" t="s">
        <v>12</v>
      </c>
      <c r="D85" s="1103"/>
      <c r="E85" s="1103"/>
      <c r="F85" s="1104"/>
      <c r="G85" s="1104"/>
      <c r="H85" s="1111"/>
      <c r="I85" s="1106"/>
      <c r="J85" s="1107"/>
      <c r="K85" s="1107"/>
      <c r="L85" s="1107"/>
      <c r="M85" s="1107"/>
      <c r="N85" s="1107"/>
      <c r="O85" s="1107"/>
      <c r="P85" s="1107"/>
      <c r="Q85" s="1107"/>
      <c r="R85" s="1107"/>
      <c r="S85" s="1107"/>
      <c r="T85" s="1112"/>
      <c r="U85" s="1112"/>
      <c r="V85" s="1112"/>
      <c r="W85" s="1112"/>
      <c r="X85" s="750"/>
      <c r="Y85" s="750"/>
      <c r="Z85" s="750"/>
      <c r="AA85" s="13"/>
      <c r="AB85" s="761"/>
      <c r="AC85" s="750"/>
      <c r="AD85" s="750"/>
      <c r="AE85" s="750"/>
      <c r="AF85" s="750"/>
      <c r="AG85" s="750" t="s">
        <v>5</v>
      </c>
      <c r="AH85" s="13"/>
    </row>
    <row r="86" spans="1:34" s="9" customFormat="1" ht="25.5" customHeight="1">
      <c r="A86" s="944"/>
      <c r="B86" s="1099"/>
      <c r="C86" s="1113" t="s">
        <v>13</v>
      </c>
      <c r="D86" s="1103"/>
      <c r="E86" s="1103"/>
      <c r="F86" s="1104"/>
      <c r="G86" s="1104"/>
      <c r="H86" s="1111">
        <f t="shared" ref="H86:Z86" si="69">ROUND((H65/H8*100),2)</f>
        <v>29.03</v>
      </c>
      <c r="I86" s="1106">
        <f t="shared" si="69"/>
        <v>29.16</v>
      </c>
      <c r="J86" s="1107">
        <f t="shared" si="69"/>
        <v>31.5</v>
      </c>
      <c r="K86" s="1107">
        <f t="shared" si="69"/>
        <v>34.29</v>
      </c>
      <c r="L86" s="1107">
        <f t="shared" si="69"/>
        <v>29.2</v>
      </c>
      <c r="M86" s="1107">
        <f t="shared" si="69"/>
        <v>24.35</v>
      </c>
      <c r="N86" s="1107">
        <f t="shared" si="69"/>
        <v>19.57</v>
      </c>
      <c r="O86" s="1107">
        <f t="shared" si="69"/>
        <v>15.22</v>
      </c>
      <c r="P86" s="1107">
        <f t="shared" si="69"/>
        <v>11.35</v>
      </c>
      <c r="Q86" s="1107">
        <f t="shared" si="69"/>
        <v>8.15</v>
      </c>
      <c r="R86" s="1107">
        <f t="shared" si="69"/>
        <v>4.8</v>
      </c>
      <c r="S86" s="1107">
        <f t="shared" si="69"/>
        <v>3.48</v>
      </c>
      <c r="T86" s="1112">
        <f t="shared" si="69"/>
        <v>1.99</v>
      </c>
      <c r="U86" s="1112">
        <f t="shared" si="69"/>
        <v>1.1299999999999999</v>
      </c>
      <c r="V86" s="1112">
        <f t="shared" si="69"/>
        <v>0.56999999999999995</v>
      </c>
      <c r="W86" s="1112">
        <f t="shared" si="69"/>
        <v>0</v>
      </c>
      <c r="X86" s="750">
        <f t="shared" si="69"/>
        <v>0</v>
      </c>
      <c r="Y86" s="750">
        <f t="shared" si="69"/>
        <v>0</v>
      </c>
      <c r="Z86" s="750">
        <f t="shared" si="69"/>
        <v>0</v>
      </c>
      <c r="AA86" s="13"/>
      <c r="AB86" s="761">
        <f>ROUND((AB65/AB8*100),2)</f>
        <v>0</v>
      </c>
      <c r="AC86" s="750">
        <f>ROUND((AC65/AC8*100),2)</f>
        <v>0</v>
      </c>
      <c r="AD86" s="750">
        <f>ROUND((AD65/AD8*100),2)</f>
        <v>0</v>
      </c>
      <c r="AE86" s="750">
        <f>ROUND((AE65/AE8*100),2)</f>
        <v>0</v>
      </c>
      <c r="AF86" s="750">
        <f>ROUND((AF65/AF8*100),2)</f>
        <v>0</v>
      </c>
      <c r="AG86" s="750" t="s">
        <v>5</v>
      </c>
      <c r="AH86" s="13"/>
    </row>
    <row r="87" spans="1:34" s="9" customFormat="1" ht="25.5" customHeight="1" thickBot="1">
      <c r="A87" s="944"/>
      <c r="B87" s="1109"/>
      <c r="C87" s="1110" t="s">
        <v>14</v>
      </c>
      <c r="D87" s="1103"/>
      <c r="E87" s="1103"/>
      <c r="F87" s="1104"/>
      <c r="G87" s="1104"/>
      <c r="H87" s="1114"/>
      <c r="I87" s="1106"/>
      <c r="J87" s="1107"/>
      <c r="K87" s="1107"/>
      <c r="L87" s="1107"/>
      <c r="M87" s="1107"/>
      <c r="N87" s="1107"/>
      <c r="O87" s="1107"/>
      <c r="P87" s="1107"/>
      <c r="Q87" s="1107"/>
      <c r="R87" s="1107"/>
      <c r="S87" s="1107"/>
      <c r="T87" s="1112"/>
      <c r="U87" s="1112"/>
      <c r="V87" s="1112"/>
      <c r="W87" s="1112"/>
      <c r="X87" s="750"/>
      <c r="Y87" s="750"/>
      <c r="Z87" s="750"/>
      <c r="AA87" s="13"/>
      <c r="AB87" s="761"/>
      <c r="AC87" s="750"/>
      <c r="AD87" s="750"/>
      <c r="AE87" s="750"/>
      <c r="AF87" s="750"/>
      <c r="AG87" s="750" t="s">
        <v>5</v>
      </c>
      <c r="AH87" s="13"/>
    </row>
    <row r="88" spans="1:34" s="9" customFormat="1" ht="12.75" customHeight="1" thickTop="1">
      <c r="A88" s="944"/>
      <c r="B88" s="1099"/>
      <c r="C88" s="1094"/>
      <c r="D88" s="1094"/>
      <c r="E88" s="1094"/>
      <c r="F88" s="1095"/>
      <c r="G88" s="1095"/>
      <c r="H88" s="1115"/>
      <c r="I88" s="1115"/>
      <c r="J88" s="1115"/>
      <c r="K88" s="1115"/>
      <c r="L88" s="1115"/>
      <c r="M88" s="1115"/>
      <c r="N88" s="1115"/>
      <c r="O88" s="1115"/>
      <c r="P88" s="1115"/>
      <c r="Q88" s="1115"/>
      <c r="R88" s="1115"/>
      <c r="S88" s="1115"/>
      <c r="T88" s="1096"/>
      <c r="U88" s="1096"/>
      <c r="V88" s="1096"/>
      <c r="W88" s="1096"/>
      <c r="X88" s="748"/>
      <c r="Y88" s="748"/>
      <c r="Z88" s="747"/>
      <c r="AA88" s="13"/>
      <c r="AB88" s="748"/>
      <c r="AC88" s="748"/>
      <c r="AD88" s="748"/>
      <c r="AE88" s="748"/>
      <c r="AF88" s="748"/>
      <c r="AG88" s="748"/>
      <c r="AH88" s="13"/>
    </row>
    <row r="89" spans="1:34" s="9" customFormat="1" ht="33" customHeight="1">
      <c r="A89" s="944"/>
      <c r="B89" s="1099"/>
      <c r="C89" s="1101" t="s">
        <v>15</v>
      </c>
      <c r="D89" s="1101"/>
      <c r="E89" s="1101"/>
      <c r="F89" s="1116"/>
      <c r="G89" s="1116"/>
      <c r="H89" s="1117"/>
      <c r="I89" s="1117"/>
      <c r="J89" s="1117"/>
      <c r="K89" s="1115"/>
      <c r="L89" s="1115"/>
      <c r="M89" s="1115"/>
      <c r="N89" s="1115"/>
      <c r="O89" s="1115"/>
      <c r="P89" s="1115"/>
      <c r="Q89" s="1115"/>
      <c r="R89" s="1115"/>
      <c r="S89" s="1115"/>
      <c r="T89" s="1096"/>
      <c r="U89" s="1096"/>
      <c r="V89" s="1096"/>
      <c r="W89" s="1096"/>
      <c r="X89" s="748"/>
      <c r="Y89" s="748"/>
      <c r="Z89" s="747"/>
      <c r="AA89" s="13"/>
      <c r="AB89" s="748"/>
      <c r="AC89" s="748"/>
      <c r="AD89" s="748"/>
      <c r="AE89" s="748"/>
      <c r="AF89" s="748"/>
      <c r="AG89" s="748"/>
      <c r="AH89" s="13"/>
    </row>
    <row r="90" spans="1:34" s="9" customFormat="1" ht="11.25" customHeight="1" thickBot="1">
      <c r="A90" s="944"/>
      <c r="B90" s="1109"/>
      <c r="C90" s="1118"/>
      <c r="D90" s="1118"/>
      <c r="E90" s="1118"/>
      <c r="F90" s="1119"/>
      <c r="G90" s="1119"/>
      <c r="H90" s="1120"/>
      <c r="I90" s="1121"/>
      <c r="J90" s="1120"/>
      <c r="K90" s="1120"/>
      <c r="L90" s="1120"/>
      <c r="M90" s="1120"/>
      <c r="N90" s="1120"/>
      <c r="O90" s="1120"/>
      <c r="P90" s="1120"/>
      <c r="Q90" s="1120"/>
      <c r="R90" s="1120"/>
      <c r="S90" s="1120"/>
      <c r="T90" s="1122"/>
      <c r="U90" s="1122"/>
      <c r="V90" s="1122"/>
      <c r="W90" s="1122"/>
      <c r="X90" s="751"/>
      <c r="Y90" s="751"/>
      <c r="Z90" s="751"/>
      <c r="AA90" s="13"/>
      <c r="AB90" s="752"/>
      <c r="AC90" s="752"/>
      <c r="AD90" s="753"/>
      <c r="AE90" s="753"/>
      <c r="AF90" s="753"/>
      <c r="AG90" s="753"/>
      <c r="AH90" s="13"/>
    </row>
    <row r="91" spans="1:34" s="9" customFormat="1" ht="33" customHeight="1" thickTop="1">
      <c r="A91" s="944"/>
      <c r="B91" s="1109"/>
      <c r="C91" s="1123" t="s">
        <v>95</v>
      </c>
      <c r="D91" s="1124">
        <f t="shared" ref="D91:Z91" si="70">ROUND(((D58++D20+D18)/D8),4)</f>
        <v>2.81E-2</v>
      </c>
      <c r="E91" s="1124">
        <f t="shared" si="70"/>
        <v>4.3999999999999997E-2</v>
      </c>
      <c r="F91" s="1125">
        <f t="shared" si="70"/>
        <v>7.51E-2</v>
      </c>
      <c r="G91" s="1125">
        <f t="shared" si="70"/>
        <v>7.3499999999999996E-2</v>
      </c>
      <c r="H91" s="1126">
        <f t="shared" si="70"/>
        <v>7.51E-2</v>
      </c>
      <c r="I91" s="1127">
        <f t="shared" si="70"/>
        <v>7.8100000000000003E-2</v>
      </c>
      <c r="J91" s="1128">
        <f t="shared" si="70"/>
        <v>5.3100000000000001E-2</v>
      </c>
      <c r="K91" s="1129">
        <f t="shared" si="70"/>
        <v>7.0000000000000007E-2</v>
      </c>
      <c r="L91" s="1129">
        <f t="shared" si="70"/>
        <v>8.0500000000000002E-2</v>
      </c>
      <c r="M91" s="1129">
        <f t="shared" si="70"/>
        <v>7.6600000000000001E-2</v>
      </c>
      <c r="N91" s="1129">
        <f t="shared" si="70"/>
        <v>7.1900000000000006E-2</v>
      </c>
      <c r="O91" s="1129">
        <f t="shared" si="70"/>
        <v>7.3599999999999999E-2</v>
      </c>
      <c r="P91" s="1129">
        <f t="shared" si="70"/>
        <v>6.0499999999999998E-2</v>
      </c>
      <c r="Q91" s="1129">
        <f t="shared" si="70"/>
        <v>4.7399999999999998E-2</v>
      </c>
      <c r="R91" s="1129">
        <f t="shared" si="70"/>
        <v>4.6100000000000002E-2</v>
      </c>
      <c r="S91" s="1129">
        <f>ROUND(((S58+S20+S18)/S8),4)</f>
        <v>1.5900000000000001E-2</v>
      </c>
      <c r="T91" s="1129">
        <f t="shared" si="70"/>
        <v>1.6500000000000001E-2</v>
      </c>
      <c r="U91" s="1129">
        <f t="shared" si="70"/>
        <v>9.5999999999999992E-3</v>
      </c>
      <c r="V91" s="1129">
        <f t="shared" si="70"/>
        <v>6.1000000000000004E-3</v>
      </c>
      <c r="W91" s="1129">
        <f t="shared" si="70"/>
        <v>5.8999999999999999E-3</v>
      </c>
      <c r="X91" s="754">
        <f t="shared" si="70"/>
        <v>0</v>
      </c>
      <c r="Y91" s="754">
        <f t="shared" si="70"/>
        <v>0</v>
      </c>
      <c r="Z91" s="754">
        <f t="shared" si="70"/>
        <v>0</v>
      </c>
      <c r="AA91" s="13"/>
      <c r="AB91" s="755">
        <f t="shared" ref="AB91:AG91" si="71">ROUND(((AB58++AB20+AB18)/AB8),2)</f>
        <v>0</v>
      </c>
      <c r="AC91" s="756">
        <f t="shared" si="71"/>
        <v>0</v>
      </c>
      <c r="AD91" s="756">
        <f t="shared" si="71"/>
        <v>0</v>
      </c>
      <c r="AE91" s="756">
        <f t="shared" si="71"/>
        <v>0</v>
      </c>
      <c r="AF91" s="756">
        <f t="shared" si="71"/>
        <v>0</v>
      </c>
      <c r="AG91" s="756">
        <f t="shared" si="71"/>
        <v>0</v>
      </c>
      <c r="AH91" s="13"/>
    </row>
    <row r="92" spans="1:34" s="9" customFormat="1" ht="25.5" customHeight="1">
      <c r="A92" s="944"/>
      <c r="B92" s="1130"/>
      <c r="C92" s="1131" t="s">
        <v>472</v>
      </c>
      <c r="D92" s="1132" t="str">
        <f t="shared" ref="D92:E92" si="72">IF(D93&gt;=D91,"ok.","nok")</f>
        <v>ok.</v>
      </c>
      <c r="E92" s="1132" t="str">
        <f t="shared" si="72"/>
        <v>ok.</v>
      </c>
      <c r="F92" s="1133" t="str">
        <f>IF(F93&gt;=F91,"ok.","nok")</f>
        <v>nok</v>
      </c>
      <c r="G92" s="1133" t="str">
        <f>IF(G93&gt;=G91,"ok.","nok")</f>
        <v>nok</v>
      </c>
      <c r="H92" s="1134" t="str">
        <f>IF(H91&lt;=H93,"ok.","nok")</f>
        <v>nok</v>
      </c>
      <c r="I92" s="1135" t="str">
        <f t="shared" ref="I92:S92" si="73">IF(I91&lt;=I93,"ok.","nok")</f>
        <v>nok</v>
      </c>
      <c r="J92" s="1136" t="str">
        <f>IF(J91&lt;=J93,"ok.","nok")</f>
        <v>ok.</v>
      </c>
      <c r="K92" s="1137" t="str">
        <f t="shared" si="73"/>
        <v>ok.</v>
      </c>
      <c r="L92" s="1137" t="str">
        <f t="shared" si="73"/>
        <v>ok.</v>
      </c>
      <c r="M92" s="1137" t="str">
        <f t="shared" si="73"/>
        <v>ok.</v>
      </c>
      <c r="N92" s="1137" t="str">
        <f t="shared" si="73"/>
        <v>ok.</v>
      </c>
      <c r="O92" s="1137" t="str">
        <f t="shared" si="73"/>
        <v>ok.</v>
      </c>
      <c r="P92" s="1137" t="str">
        <f>IF(P91&lt;=P93,"ok.","nok")</f>
        <v>ok.</v>
      </c>
      <c r="Q92" s="1137" t="str">
        <f t="shared" si="73"/>
        <v>ok.</v>
      </c>
      <c r="R92" s="1137" t="str">
        <f t="shared" si="73"/>
        <v>ok.</v>
      </c>
      <c r="S92" s="1137" t="str">
        <f t="shared" si="73"/>
        <v>ok.</v>
      </c>
      <c r="T92" s="1138" t="str">
        <f t="shared" ref="T92:AG92" si="74">IF(T93&gt;=T91,"ok.","nok")</f>
        <v>ok.</v>
      </c>
      <c r="U92" s="1139" t="str">
        <f t="shared" ref="U92:Z92" si="75">IF(U93&gt;=U91,"ok.","nok")</f>
        <v>ok.</v>
      </c>
      <c r="V92" s="1139" t="str">
        <f t="shared" si="75"/>
        <v>ok.</v>
      </c>
      <c r="W92" s="1139" t="str">
        <f t="shared" si="75"/>
        <v>ok.</v>
      </c>
      <c r="X92" s="758" t="str">
        <f t="shared" si="75"/>
        <v>ok.</v>
      </c>
      <c r="Y92" s="758" t="str">
        <f t="shared" si="75"/>
        <v>ok.</v>
      </c>
      <c r="Z92" s="759" t="str">
        <f t="shared" si="75"/>
        <v>ok.</v>
      </c>
      <c r="AA92" s="13"/>
      <c r="AB92" s="757" t="str">
        <f t="shared" si="74"/>
        <v>ok.</v>
      </c>
      <c r="AC92" s="759" t="str">
        <f t="shared" si="74"/>
        <v>ok.</v>
      </c>
      <c r="AD92" s="759" t="str">
        <f t="shared" si="74"/>
        <v>ok.</v>
      </c>
      <c r="AE92" s="759" t="str">
        <f t="shared" si="74"/>
        <v>ok.</v>
      </c>
      <c r="AF92" s="759" t="str">
        <f t="shared" si="74"/>
        <v>ok.</v>
      </c>
      <c r="AG92" s="759" t="str">
        <f t="shared" si="74"/>
        <v>ok.</v>
      </c>
      <c r="AH92" s="13"/>
    </row>
    <row r="93" spans="1:34" s="9" customFormat="1" ht="33" customHeight="1" thickBot="1">
      <c r="A93" s="944"/>
      <c r="B93" s="1130"/>
      <c r="C93" s="1131" t="s">
        <v>96</v>
      </c>
      <c r="D93" s="1140">
        <f>ROUND((((0.0199)+(0.727392)+(0.02090675))/3),4)</f>
        <v>0.25609999999999999</v>
      </c>
      <c r="E93" s="1140">
        <f>ROUND((((D12-D13+D25)/D8+(0.019934676)+(0.727392))/3),4)</f>
        <v>0.25829999999999997</v>
      </c>
      <c r="F93" s="1141">
        <f>ROUND((((E12-E13+E25)/E8+(D12-D13+D25)/D8+(0.019934676))/3),4)</f>
        <v>1.38E-2</v>
      </c>
      <c r="G93" s="1141">
        <f>ROUND((((F12-F13+F25)/F8+(E12-E13+E25)/E8+(0.019934676))/3),4)</f>
        <v>2.41E-2</v>
      </c>
      <c r="H93" s="1142">
        <f>ROUND((((G12-G13+G25)/F8+(E12-E13+E25)/E8+(D12-D13+D25)/D8)/3),4)</f>
        <v>2.3400000000000001E-2</v>
      </c>
      <c r="I93" s="1143">
        <f>ROUND((((H12-H13+H25)/H8+(G12-G13+G25)/G8+(E12-E13+E25)/E8)/3),4)</f>
        <v>3.6799999999999999E-2</v>
      </c>
      <c r="J93" s="1144">
        <f>ROUND((((I12-I13+I25)/I8+(H12-H13+H25)/H8+(G12-G13+G25)/G8)/3),4)</f>
        <v>6.3600000000000004E-2</v>
      </c>
      <c r="K93" s="1145">
        <f>ROUND((((J12-J13+J25)/J8+(I12-I13+I25)/I8+(H12-H13+H25)/H8)/3),4)</f>
        <v>7.7799999999999994E-2</v>
      </c>
      <c r="L93" s="1145">
        <f t="shared" ref="L93:T93" si="76">ROUND((((K12-K13+K25)/K8+(J12-J13+J25)/J8+(I12-I13+I25)/I8)/3),4)</f>
        <v>8.3000000000000004E-2</v>
      </c>
      <c r="M93" s="1145">
        <f t="shared" si="76"/>
        <v>8.4400000000000003E-2</v>
      </c>
      <c r="N93" s="1145">
        <f t="shared" si="76"/>
        <v>7.7100000000000002E-2</v>
      </c>
      <c r="O93" s="1145">
        <f t="shared" si="76"/>
        <v>7.4300000000000005E-2</v>
      </c>
      <c r="P93" s="1145">
        <f>ROUND((((O12-O13+O25)/O8+(N12-N13+N25)/N8+(M12-M13+M25)/M8)/3),4)</f>
        <v>7.1199999999999999E-2</v>
      </c>
      <c r="Q93" s="1145">
        <f t="shared" si="76"/>
        <v>6.4699999999999994E-2</v>
      </c>
      <c r="R93" s="1145">
        <f t="shared" si="76"/>
        <v>5.7799999999999997E-2</v>
      </c>
      <c r="S93" s="1145">
        <f t="shared" si="76"/>
        <v>5.0500000000000003E-2</v>
      </c>
      <c r="T93" s="1145">
        <f t="shared" si="76"/>
        <v>4.8899999999999999E-2</v>
      </c>
      <c r="U93" s="1145">
        <f t="shared" ref="U93:Z93" si="77">ROUND((((T12-T13+T25)/T8+(S12-S13+S25)/S8+(R12-R13+R25)/R8)/3),4)</f>
        <v>4.4200000000000003E-2</v>
      </c>
      <c r="V93" s="1145">
        <f t="shared" si="77"/>
        <v>3.6499999999999998E-2</v>
      </c>
      <c r="W93" s="1145">
        <f t="shared" si="77"/>
        <v>2.69E-2</v>
      </c>
      <c r="X93" s="760">
        <f t="shared" si="77"/>
        <v>2.0400000000000001E-2</v>
      </c>
      <c r="Y93" s="760">
        <f t="shared" si="77"/>
        <v>1.09E-2</v>
      </c>
      <c r="Z93" s="760">
        <f t="shared" si="77"/>
        <v>3.2000000000000002E-3</v>
      </c>
      <c r="AA93" s="13"/>
      <c r="AB93" s="761">
        <f>ROUND((((U12-U13+U25)/U8+(T12-T13+T25)/T8+(S12-S13+S25)/S8)/3),2)</f>
        <v>0.04</v>
      </c>
      <c r="AC93" s="750">
        <f>ROUND((((AB12-AB13+AB25)/AB8+(U12-U13+U25)/U8+(T12-T13+T25)/T8)/3),2)</f>
        <v>0.03</v>
      </c>
      <c r="AD93" s="750">
        <f>ROUND((((AC12-AC13+AC25)/AC8+(AB12-AB13+AB25)/AB8+(U12-U13+U25)/U8)/3),2)</f>
        <v>0.02</v>
      </c>
      <c r="AE93" s="750">
        <f t="shared" ref="AE93:AG93" si="78">ROUND((((AD12-AD13+AD25)/AD8+(AC12-AC13+AC25)/AC8+(AB12-AB13+AB25)/AB8)/3),2)</f>
        <v>0.02</v>
      </c>
      <c r="AF93" s="750">
        <f t="shared" si="78"/>
        <v>0.02</v>
      </c>
      <c r="AG93" s="750">
        <f t="shared" si="78"/>
        <v>0.01</v>
      </c>
      <c r="AH93" s="13"/>
    </row>
    <row r="94" spans="1:34" s="9" customFormat="1" ht="9.9499999999999993" customHeight="1" thickTop="1">
      <c r="A94" s="13"/>
      <c r="B94" s="742"/>
      <c r="C94" s="762"/>
      <c r="D94" s="762"/>
      <c r="E94" s="762"/>
      <c r="F94" s="763"/>
      <c r="G94" s="764"/>
      <c r="H94" s="751"/>
      <c r="I94" s="765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1"/>
      <c r="AA94" s="751"/>
      <c r="AB94" s="765"/>
      <c r="AC94" s="765"/>
      <c r="AD94" s="762"/>
      <c r="AE94" s="762"/>
      <c r="AF94" s="762"/>
      <c r="AG94" s="762"/>
      <c r="AH94" s="13"/>
    </row>
    <row r="95" spans="1:34" ht="20.25">
      <c r="B95" s="766"/>
      <c r="C95" s="1177" t="s">
        <v>16</v>
      </c>
      <c r="D95" s="1177"/>
      <c r="E95" s="1177"/>
      <c r="F95" s="1177"/>
      <c r="G95" s="1177"/>
      <c r="H95" s="1177"/>
      <c r="I95" s="1177"/>
      <c r="J95" s="1177"/>
      <c r="K95" s="1177"/>
      <c r="L95" s="1177"/>
      <c r="M95" s="1177"/>
      <c r="N95" s="1177"/>
      <c r="O95" s="1177"/>
      <c r="P95" s="1177"/>
      <c r="Q95" s="1177"/>
      <c r="R95" s="1177"/>
      <c r="S95" s="1177"/>
      <c r="T95" s="1177"/>
      <c r="U95" s="1177"/>
      <c r="V95" s="1177"/>
      <c r="W95" s="1177"/>
      <c r="X95" s="1177"/>
      <c r="Y95" s="1177"/>
      <c r="Z95" s="1177"/>
      <c r="AA95" s="1177"/>
      <c r="AB95" s="1177"/>
      <c r="AC95" s="1177"/>
      <c r="AD95" s="1177"/>
      <c r="AE95" s="1177"/>
      <c r="AF95" s="1177"/>
      <c r="AG95" s="1177"/>
    </row>
    <row r="96" spans="1:34" ht="20.25" customHeight="1">
      <c r="B96" s="766"/>
      <c r="C96" s="1165" t="s">
        <v>359</v>
      </c>
      <c r="D96" s="1165"/>
      <c r="E96" s="1165"/>
      <c r="F96" s="1165"/>
      <c r="G96" s="1165"/>
      <c r="H96" s="1165"/>
      <c r="I96" s="1165"/>
      <c r="J96" s="1165"/>
      <c r="K96" s="1165"/>
      <c r="L96" s="1165"/>
      <c r="M96" s="1165"/>
      <c r="N96" s="1165"/>
      <c r="O96" s="1165"/>
      <c r="P96" s="1165"/>
      <c r="Q96" s="1165"/>
      <c r="R96" s="1165"/>
      <c r="S96" s="1165"/>
      <c r="T96" s="1165"/>
      <c r="U96" s="1165"/>
      <c r="V96" s="1165"/>
      <c r="W96" s="1165"/>
      <c r="X96" s="1165"/>
      <c r="Y96" s="1165"/>
      <c r="Z96" s="1165"/>
      <c r="AA96" s="1165"/>
      <c r="AB96" s="1165"/>
      <c r="AC96" s="1165"/>
      <c r="AD96" s="1165"/>
      <c r="AE96" s="1165"/>
      <c r="AF96" s="1165"/>
      <c r="AG96" s="1165"/>
    </row>
    <row r="97" spans="2:33" ht="17.25" customHeight="1">
      <c r="B97" s="766"/>
      <c r="C97" s="1165" t="s">
        <v>360</v>
      </c>
      <c r="D97" s="1165"/>
      <c r="E97" s="1165"/>
      <c r="F97" s="1165"/>
      <c r="G97" s="1165"/>
      <c r="H97" s="1165"/>
      <c r="I97" s="1165"/>
      <c r="J97" s="1165"/>
      <c r="K97" s="1165"/>
      <c r="L97" s="1165"/>
      <c r="M97" s="1165"/>
      <c r="N97" s="1165"/>
      <c r="O97" s="1165"/>
      <c r="P97" s="1165"/>
      <c r="Q97" s="1165"/>
      <c r="R97" s="1165"/>
      <c r="S97" s="1165"/>
      <c r="T97" s="1165"/>
      <c r="U97" s="1165"/>
      <c r="V97" s="1165"/>
      <c r="W97" s="1165"/>
      <c r="X97" s="1165"/>
      <c r="Y97" s="1165"/>
      <c r="Z97" s="1165"/>
      <c r="AA97" s="1165"/>
      <c r="AB97" s="1165"/>
      <c r="AC97" s="1165"/>
      <c r="AD97" s="1165"/>
      <c r="AE97" s="1165"/>
      <c r="AF97" s="1165"/>
      <c r="AG97" s="1165"/>
    </row>
    <row r="98" spans="2:33" ht="18.75" customHeight="1">
      <c r="B98" s="766"/>
      <c r="C98" s="1165" t="s">
        <v>361</v>
      </c>
      <c r="D98" s="1165"/>
      <c r="E98" s="1165"/>
      <c r="F98" s="1165"/>
      <c r="G98" s="1165"/>
      <c r="H98" s="1165"/>
      <c r="I98" s="1165"/>
      <c r="J98" s="1165"/>
      <c r="K98" s="1165"/>
      <c r="L98" s="1165"/>
      <c r="M98" s="1165"/>
      <c r="N98" s="1165"/>
      <c r="O98" s="1165"/>
      <c r="P98" s="1165"/>
      <c r="Q98" s="1165"/>
      <c r="R98" s="1165"/>
      <c r="S98" s="1165"/>
      <c r="T98" s="1165"/>
      <c r="U98" s="1165"/>
      <c r="V98" s="1165"/>
      <c r="W98" s="1165"/>
      <c r="X98" s="1165"/>
      <c r="Y98" s="1165"/>
      <c r="Z98" s="1165"/>
      <c r="AA98" s="1165"/>
      <c r="AB98" s="1165"/>
      <c r="AC98" s="1165"/>
      <c r="AD98" s="1165"/>
      <c r="AE98" s="1165"/>
      <c r="AF98" s="1165"/>
      <c r="AG98" s="1165"/>
    </row>
    <row r="99" spans="2:33" ht="21.75" customHeight="1">
      <c r="B99" s="766"/>
      <c r="C99" s="1165" t="s">
        <v>362</v>
      </c>
      <c r="D99" s="1165"/>
      <c r="E99" s="1165"/>
      <c r="F99" s="1165"/>
      <c r="G99" s="1165"/>
      <c r="H99" s="1165"/>
      <c r="I99" s="1165"/>
      <c r="J99" s="1165"/>
      <c r="K99" s="1165"/>
      <c r="L99" s="1165"/>
      <c r="M99" s="1165"/>
      <c r="N99" s="1165"/>
      <c r="O99" s="1165"/>
      <c r="P99" s="1165"/>
      <c r="Q99" s="1165"/>
      <c r="R99" s="1165"/>
      <c r="S99" s="1165"/>
      <c r="T99" s="1165"/>
      <c r="U99" s="1165"/>
      <c r="V99" s="1165"/>
      <c r="W99" s="1165"/>
      <c r="X99" s="1165"/>
      <c r="Y99" s="1165"/>
      <c r="Z99" s="1165"/>
      <c r="AA99" s="1165"/>
      <c r="AB99" s="1165"/>
      <c r="AC99" s="1165"/>
      <c r="AD99" s="1165"/>
      <c r="AE99" s="1165"/>
      <c r="AF99" s="1165"/>
      <c r="AG99" s="1165"/>
    </row>
    <row r="100" spans="2:33" ht="18.75" customHeight="1">
      <c r="B100" s="766"/>
      <c r="C100" s="1164" t="s">
        <v>363</v>
      </c>
      <c r="D100" s="1164"/>
      <c r="E100" s="1164"/>
      <c r="F100" s="1164"/>
      <c r="G100" s="1164"/>
      <c r="H100" s="1164"/>
      <c r="I100" s="1164"/>
      <c r="J100" s="1164"/>
      <c r="K100" s="1164"/>
      <c r="L100" s="1164"/>
      <c r="M100" s="1164"/>
      <c r="N100" s="1164"/>
      <c r="O100" s="1164"/>
      <c r="P100" s="1164"/>
      <c r="Q100" s="1164"/>
      <c r="R100" s="1164"/>
      <c r="S100" s="1164"/>
      <c r="T100" s="1164"/>
      <c r="U100" s="1164"/>
      <c r="V100" s="1164"/>
      <c r="W100" s="1164"/>
      <c r="X100" s="1164"/>
      <c r="Y100" s="1164"/>
      <c r="Z100" s="1164"/>
      <c r="AA100" s="1164"/>
      <c r="AB100" s="1164"/>
      <c r="AC100" s="1164"/>
      <c r="AD100" s="1164"/>
      <c r="AE100" s="1164"/>
      <c r="AF100" s="1164"/>
      <c r="AG100" s="1164"/>
    </row>
    <row r="101" spans="2:33" ht="12.75" customHeight="1">
      <c r="B101" s="766"/>
      <c r="C101" s="767"/>
      <c r="D101" s="767"/>
      <c r="E101" s="767"/>
      <c r="F101" s="767"/>
      <c r="G101" s="767"/>
      <c r="H101" s="767"/>
      <c r="I101" s="767"/>
      <c r="J101" s="767"/>
      <c r="K101" s="767"/>
      <c r="L101" s="767"/>
      <c r="M101" s="767"/>
      <c r="N101" s="767"/>
      <c r="O101" s="767"/>
      <c r="P101" s="767"/>
      <c r="Q101" s="767"/>
      <c r="R101" s="767"/>
      <c r="S101" s="767"/>
      <c r="T101" s="767"/>
      <c r="U101" s="790"/>
      <c r="V101" s="790"/>
      <c r="W101" s="790"/>
      <c r="X101" s="790"/>
      <c r="Y101" s="790"/>
      <c r="Z101" s="790"/>
      <c r="AA101" s="767"/>
      <c r="AB101" s="767"/>
      <c r="AC101" s="767"/>
      <c r="AD101" s="767"/>
      <c r="AE101" s="767"/>
      <c r="AF101" s="767"/>
      <c r="AG101" s="767"/>
    </row>
    <row r="102" spans="2:33" ht="12.75" customHeight="1">
      <c r="B102" s="766"/>
      <c r="C102" s="767"/>
      <c r="D102" s="767"/>
      <c r="E102" s="767"/>
      <c r="F102" s="767"/>
      <c r="G102" s="767"/>
      <c r="H102" s="767"/>
      <c r="I102" s="767"/>
      <c r="J102" s="767"/>
      <c r="K102" s="767"/>
      <c r="L102" s="767"/>
      <c r="M102" s="767"/>
      <c r="N102" s="767"/>
      <c r="O102" s="767"/>
      <c r="P102" s="767"/>
      <c r="Q102" s="767"/>
      <c r="R102" s="767"/>
      <c r="S102" s="767"/>
      <c r="T102" s="767"/>
      <c r="U102" s="790"/>
      <c r="V102" s="790"/>
      <c r="W102" s="790"/>
      <c r="X102" s="790"/>
      <c r="Y102" s="790"/>
      <c r="Z102" s="790"/>
      <c r="AA102" s="767"/>
      <c r="AB102" s="767"/>
      <c r="AC102" s="767"/>
      <c r="AD102" s="767"/>
      <c r="AE102" s="767"/>
      <c r="AF102" s="767"/>
      <c r="AG102" s="767"/>
    </row>
    <row r="103" spans="2:33" ht="12.75" customHeight="1">
      <c r="B103" s="766"/>
      <c r="C103" s="767"/>
      <c r="D103" s="767"/>
      <c r="E103" s="767"/>
      <c r="F103" s="767"/>
      <c r="G103" s="767"/>
      <c r="H103" s="767"/>
      <c r="I103" s="767"/>
      <c r="J103" s="767"/>
      <c r="K103" s="767"/>
      <c r="L103" s="767"/>
      <c r="M103" s="767"/>
      <c r="N103" s="767"/>
      <c r="O103" s="767"/>
      <c r="P103" s="767"/>
      <c r="Q103" s="767"/>
      <c r="R103" s="767"/>
      <c r="S103" s="767"/>
      <c r="T103" s="767"/>
      <c r="U103" s="790"/>
      <c r="V103" s="790"/>
      <c r="W103" s="790"/>
      <c r="X103" s="790"/>
      <c r="Y103" s="790"/>
      <c r="Z103" s="790"/>
      <c r="AA103" s="767"/>
      <c r="AB103" s="767"/>
      <c r="AC103" s="767"/>
      <c r="AD103" s="767"/>
      <c r="AE103" s="767"/>
      <c r="AF103" s="767"/>
      <c r="AG103" s="767"/>
    </row>
    <row r="104" spans="2:33" ht="12.75" customHeight="1">
      <c r="B104" s="766"/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7"/>
      <c r="O104" s="767"/>
      <c r="P104" s="767"/>
      <c r="Q104" s="767"/>
      <c r="R104" s="767"/>
      <c r="S104" s="767"/>
      <c r="T104" s="767"/>
      <c r="U104" s="790"/>
      <c r="V104" s="790"/>
      <c r="W104" s="790"/>
      <c r="X104" s="790"/>
      <c r="Y104" s="790"/>
      <c r="Z104" s="790"/>
      <c r="AA104" s="767"/>
      <c r="AB104" s="767"/>
      <c r="AC104" s="767"/>
      <c r="AD104" s="767"/>
      <c r="AE104" s="767"/>
      <c r="AF104" s="767"/>
      <c r="AG104" s="767"/>
    </row>
    <row r="105" spans="2:33" ht="12.75" customHeight="1">
      <c r="B105" s="766"/>
      <c r="C105" s="767"/>
      <c r="D105" s="767"/>
      <c r="E105" s="767"/>
      <c r="F105" s="767"/>
      <c r="G105" s="767"/>
      <c r="H105" s="767"/>
      <c r="I105" s="767"/>
      <c r="J105" s="767"/>
      <c r="K105" s="767"/>
      <c r="L105" s="767"/>
      <c r="M105" s="767"/>
      <c r="N105" s="767"/>
      <c r="O105" s="767"/>
      <c r="P105" s="767"/>
      <c r="Q105" s="767"/>
      <c r="R105" s="767"/>
      <c r="S105" s="767"/>
      <c r="T105" s="767"/>
      <c r="U105" s="790"/>
      <c r="V105" s="790"/>
      <c r="W105" s="790"/>
      <c r="X105" s="790"/>
      <c r="Y105" s="790"/>
      <c r="Z105" s="790"/>
      <c r="AA105" s="767"/>
      <c r="AB105" s="767"/>
      <c r="AC105" s="767"/>
      <c r="AD105" s="767"/>
      <c r="AE105" s="767"/>
      <c r="AF105" s="767"/>
      <c r="AG105" s="767"/>
    </row>
    <row r="106" spans="2:33" ht="12.75" customHeight="1">
      <c r="B106" s="766"/>
      <c r="C106" s="767"/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7"/>
      <c r="O106" s="767"/>
      <c r="P106" s="767"/>
      <c r="Q106" s="767"/>
      <c r="R106" s="767"/>
      <c r="S106" s="767"/>
      <c r="T106" s="767"/>
      <c r="U106" s="790"/>
      <c r="V106" s="790"/>
      <c r="W106" s="790"/>
      <c r="X106" s="790"/>
      <c r="Y106" s="790"/>
      <c r="Z106" s="790"/>
      <c r="AA106" s="767"/>
      <c r="AB106" s="767"/>
      <c r="AC106" s="767"/>
      <c r="AD106" s="767"/>
      <c r="AE106" s="767"/>
      <c r="AF106" s="767"/>
      <c r="AG106" s="767"/>
    </row>
    <row r="107" spans="2:33" ht="12.75" customHeight="1">
      <c r="B107" s="766"/>
      <c r="C107" s="767"/>
      <c r="D107" s="767"/>
      <c r="E107" s="767"/>
      <c r="F107" s="767"/>
      <c r="G107" s="767"/>
      <c r="H107" s="767"/>
      <c r="I107" s="767"/>
      <c r="J107" s="767"/>
      <c r="K107" s="767"/>
      <c r="L107" s="767"/>
      <c r="M107" s="767"/>
      <c r="N107" s="767"/>
      <c r="O107" s="767"/>
      <c r="P107" s="767"/>
      <c r="Q107" s="767"/>
      <c r="R107" s="767"/>
      <c r="S107" s="767"/>
      <c r="T107" s="767"/>
      <c r="U107" s="790"/>
      <c r="V107" s="790"/>
      <c r="W107" s="790"/>
      <c r="X107" s="790"/>
      <c r="Y107" s="790"/>
      <c r="Z107" s="790"/>
      <c r="AA107" s="767"/>
      <c r="AB107" s="767"/>
      <c r="AC107" s="767"/>
      <c r="AD107" s="767"/>
      <c r="AE107" s="767"/>
      <c r="AF107" s="767"/>
      <c r="AG107" s="767"/>
    </row>
    <row r="108" spans="2:33" ht="22.5" customHeight="1">
      <c r="B108" s="766"/>
      <c r="C108" s="767"/>
      <c r="D108" s="767"/>
      <c r="E108" s="767"/>
      <c r="F108" s="767"/>
      <c r="G108" s="767"/>
      <c r="H108" s="767"/>
      <c r="I108" s="767"/>
      <c r="J108" s="767"/>
      <c r="K108" s="767"/>
      <c r="L108" s="767"/>
      <c r="M108" s="767"/>
      <c r="N108" s="767"/>
      <c r="O108" s="767"/>
      <c r="P108" s="767"/>
      <c r="Q108" s="767"/>
      <c r="R108" s="767"/>
      <c r="S108" s="767"/>
      <c r="T108" s="767"/>
      <c r="U108" s="790"/>
      <c r="V108" s="790"/>
      <c r="W108" s="790"/>
      <c r="X108" s="790"/>
      <c r="Y108" s="790"/>
      <c r="Z108" s="790"/>
      <c r="AA108" s="767"/>
      <c r="AB108" s="767"/>
      <c r="AC108" s="767"/>
      <c r="AD108" s="767"/>
      <c r="AE108" s="767"/>
      <c r="AF108" s="767"/>
      <c r="AG108" s="767"/>
    </row>
    <row r="109" spans="2:33" ht="20.25">
      <c r="B109" s="766"/>
      <c r="C109" s="768"/>
      <c r="D109" s="768"/>
      <c r="E109" s="768"/>
      <c r="F109" s="769"/>
      <c r="G109" s="769"/>
      <c r="H109" s="766"/>
      <c r="I109" s="766"/>
      <c r="J109" s="766"/>
      <c r="K109" s="766"/>
      <c r="L109" s="766"/>
      <c r="M109" s="766"/>
      <c r="N109" s="766"/>
      <c r="O109" s="766"/>
      <c r="P109" s="766"/>
      <c r="Q109" s="766"/>
      <c r="R109" s="1163" t="s">
        <v>364</v>
      </c>
      <c r="S109" s="1163"/>
      <c r="T109" s="766"/>
      <c r="U109" s="766"/>
      <c r="V109" s="766"/>
      <c r="W109" s="766"/>
      <c r="X109" s="766"/>
      <c r="Y109" s="766"/>
      <c r="Z109" s="766"/>
      <c r="AA109" s="766"/>
      <c r="AB109" s="766"/>
      <c r="AC109" s="766"/>
      <c r="AD109" s="766"/>
      <c r="AE109" s="766"/>
      <c r="AF109" s="766"/>
      <c r="AG109" s="766"/>
    </row>
    <row r="110" spans="2:33" ht="20.25">
      <c r="B110" s="766"/>
      <c r="C110" s="770"/>
      <c r="D110" s="770"/>
      <c r="E110" s="770"/>
      <c r="F110" s="769"/>
      <c r="G110" s="769"/>
      <c r="H110" s="766"/>
      <c r="I110" s="766"/>
      <c r="J110" s="766"/>
      <c r="K110" s="766"/>
      <c r="L110" s="766"/>
      <c r="M110" s="766"/>
      <c r="N110" s="766"/>
      <c r="O110" s="766"/>
      <c r="P110" s="766"/>
      <c r="Q110" s="766"/>
      <c r="R110" s="766"/>
      <c r="S110" s="766"/>
      <c r="T110" s="766"/>
      <c r="U110" s="766"/>
      <c r="V110" s="766"/>
      <c r="W110" s="766"/>
      <c r="X110" s="766"/>
      <c r="Y110" s="766"/>
      <c r="Z110" s="766"/>
      <c r="AA110" s="766"/>
      <c r="AB110" s="766"/>
      <c r="AC110" s="766"/>
      <c r="AD110" s="766"/>
      <c r="AE110" s="766"/>
      <c r="AF110" s="766"/>
      <c r="AG110" s="766"/>
    </row>
    <row r="111" spans="2:33" ht="20.25">
      <c r="B111" s="766"/>
      <c r="C111" s="770"/>
      <c r="D111" s="770"/>
      <c r="E111" s="770"/>
      <c r="F111" s="769"/>
      <c r="G111" s="769"/>
      <c r="H111" s="766"/>
      <c r="I111" s="766"/>
      <c r="J111" s="766"/>
      <c r="K111" s="766"/>
      <c r="L111" s="766"/>
      <c r="M111" s="766"/>
      <c r="N111" s="766"/>
      <c r="O111" s="766"/>
      <c r="P111" s="766"/>
      <c r="Q111" s="766"/>
      <c r="R111" s="766"/>
      <c r="S111" s="766"/>
      <c r="T111" s="766"/>
      <c r="U111" s="766"/>
      <c r="V111" s="766"/>
      <c r="W111" s="766"/>
      <c r="X111" s="766"/>
      <c r="Y111" s="766"/>
      <c r="Z111" s="766"/>
      <c r="AA111" s="766"/>
      <c r="AB111" s="766"/>
      <c r="AC111" s="766"/>
      <c r="AD111" s="766"/>
      <c r="AE111" s="766"/>
      <c r="AF111" s="766"/>
      <c r="AG111" s="766"/>
    </row>
    <row r="112" spans="2:33" ht="20.25">
      <c r="B112" s="766"/>
      <c r="C112" s="770"/>
      <c r="D112" s="770"/>
      <c r="E112" s="770"/>
      <c r="F112" s="769"/>
      <c r="G112" s="769"/>
      <c r="H112" s="766"/>
      <c r="I112" s="766"/>
      <c r="J112" s="766"/>
      <c r="K112" s="766"/>
      <c r="L112" s="766"/>
      <c r="M112" s="766"/>
      <c r="N112" s="766"/>
      <c r="O112" s="766"/>
      <c r="P112" s="766"/>
      <c r="Q112" s="766"/>
      <c r="R112" s="766"/>
      <c r="S112" s="766"/>
      <c r="T112" s="766"/>
      <c r="U112" s="766"/>
      <c r="V112" s="766"/>
      <c r="W112" s="766"/>
      <c r="X112" s="766"/>
      <c r="Y112" s="766"/>
      <c r="Z112" s="766"/>
      <c r="AA112" s="766"/>
      <c r="AB112" s="766"/>
      <c r="AC112" s="766"/>
      <c r="AD112" s="766"/>
      <c r="AE112" s="766"/>
      <c r="AF112" s="766"/>
      <c r="AG112" s="766"/>
    </row>
    <row r="113" spans="2:33" ht="20.25" hidden="1">
      <c r="B113" s="766"/>
      <c r="C113" s="770"/>
      <c r="D113" s="770"/>
      <c r="E113" s="770"/>
      <c r="F113" s="769"/>
      <c r="G113" s="769"/>
      <c r="H113" s="766"/>
      <c r="I113" s="766"/>
      <c r="J113" s="766"/>
      <c r="K113" s="766"/>
      <c r="L113" s="766"/>
      <c r="M113" s="766"/>
      <c r="N113" s="766"/>
      <c r="O113" s="766"/>
      <c r="P113" s="766"/>
      <c r="Q113" s="766"/>
      <c r="R113" s="766"/>
      <c r="S113" s="766"/>
      <c r="T113" s="766"/>
      <c r="U113" s="766"/>
      <c r="V113" s="766"/>
      <c r="W113" s="766"/>
      <c r="X113" s="766"/>
      <c r="Y113" s="766"/>
      <c r="Z113" s="766"/>
      <c r="AA113" s="766"/>
      <c r="AB113" s="766"/>
      <c r="AC113" s="766"/>
      <c r="AD113" s="766"/>
      <c r="AE113" s="766"/>
      <c r="AF113" s="766"/>
      <c r="AG113" s="766"/>
    </row>
    <row r="114" spans="2:33" ht="20.25">
      <c r="B114" s="766"/>
      <c r="C114" s="770"/>
      <c r="D114" s="770"/>
      <c r="E114" s="770"/>
      <c r="F114" s="769"/>
      <c r="G114" s="769"/>
      <c r="H114" s="766"/>
      <c r="I114" s="766"/>
      <c r="J114" s="766"/>
      <c r="K114" s="766"/>
      <c r="L114" s="766"/>
      <c r="M114" s="766"/>
      <c r="N114" s="766"/>
      <c r="O114" s="766"/>
      <c r="P114" s="766"/>
      <c r="Q114" s="766"/>
      <c r="R114" s="766"/>
      <c r="S114" s="766"/>
      <c r="T114" s="766"/>
      <c r="U114" s="766"/>
      <c r="V114" s="766"/>
      <c r="W114" s="766"/>
      <c r="X114" s="766"/>
      <c r="Y114" s="766"/>
      <c r="Z114" s="766"/>
      <c r="AA114" s="766"/>
      <c r="AB114" s="766"/>
      <c r="AC114" s="766"/>
      <c r="AD114" s="766"/>
      <c r="AE114" s="766"/>
      <c r="AF114" s="766"/>
      <c r="AG114" s="766"/>
    </row>
    <row r="115" spans="2:33"/>
    <row r="116" spans="2:33"/>
    <row r="117" spans="2:33"/>
    <row r="118" spans="2:33"/>
    <row r="119" spans="2:33"/>
    <row r="120" spans="2:33"/>
    <row r="121" spans="2:33"/>
    <row r="122" spans="2:33"/>
    <row r="123" spans="2:33"/>
    <row r="124" spans="2:33"/>
    <row r="125" spans="2:33"/>
    <row r="126" spans="2:33"/>
    <row r="127" spans="2:33"/>
    <row r="128" spans="2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U1:Z1"/>
    <mergeCell ref="R1:T1"/>
    <mergeCell ref="O2:AA2"/>
    <mergeCell ref="R109:S109"/>
    <mergeCell ref="C100:AG100"/>
    <mergeCell ref="C96:AG96"/>
    <mergeCell ref="C97:AG97"/>
    <mergeCell ref="C98:AG98"/>
    <mergeCell ref="C3:C5"/>
    <mergeCell ref="F3:F5"/>
    <mergeCell ref="C99:AG99"/>
    <mergeCell ref="H3:AG5"/>
    <mergeCell ref="C95:AG95"/>
    <mergeCell ref="D3:D5"/>
    <mergeCell ref="E3:E5"/>
    <mergeCell ref="G3:G5"/>
  </mergeCells>
  <phoneticPr fontId="0" type="noConversion"/>
  <conditionalFormatting sqref="D92:S92">
    <cfRule type="containsText" dxfId="4" priority="2" operator="containsText" text="nok">
      <formula>NOT(ISERROR(SEARCH("nok",D92)))</formula>
    </cfRule>
  </conditionalFormatting>
  <pageMargins left="0.86614173228346458" right="0" top="0.70866141732283472" bottom="0.27559055118110237" header="0.51181102362204722" footer="0.51181102362204722"/>
  <pageSetup paperSize="8" scale="23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10"/>
  <sheetViews>
    <sheetView tabSelected="1" topLeftCell="B259" zoomScale="80" zoomScaleNormal="80" workbookViewId="0">
      <selection activeCell="Q304" sqref="Q304:Q307"/>
    </sheetView>
  </sheetViews>
  <sheetFormatPr defaultColWidth="0" defaultRowHeight="12.75"/>
  <cols>
    <col min="1" max="1" width="3.42578125" style="632" customWidth="1"/>
    <col min="2" max="2" width="4.42578125" style="631" customWidth="1"/>
    <col min="3" max="3" width="4.140625" style="631" customWidth="1"/>
    <col min="4" max="4" width="3.85546875" style="631" customWidth="1"/>
    <col min="5" max="5" width="4.85546875" style="631" customWidth="1"/>
    <col min="6" max="6" width="5.85546875" style="630" customWidth="1"/>
    <col min="7" max="7" width="4.42578125" style="630" customWidth="1"/>
    <col min="8" max="8" width="5.28515625" style="630" customWidth="1"/>
    <col min="9" max="9" width="10" style="630" customWidth="1"/>
    <col min="10" max="11" width="7.140625" style="630" customWidth="1"/>
    <col min="12" max="12" width="13.42578125" style="665" customWidth="1"/>
    <col min="13" max="13" width="12" style="630" customWidth="1"/>
    <col min="14" max="14" width="16.42578125" style="630" customWidth="1"/>
    <col min="15" max="15" width="2.140625" style="630" customWidth="1"/>
    <col min="16" max="16" width="16.5703125" style="660" customWidth="1"/>
    <col min="17" max="17" width="14.85546875" style="660" customWidth="1"/>
    <col min="18" max="18" width="15.28515625" style="660" customWidth="1"/>
    <col min="19" max="20" width="15.42578125" style="660" customWidth="1"/>
    <col min="21" max="25" width="13.42578125" style="660" customWidth="1"/>
    <col min="26" max="26" width="7" style="630" customWidth="1"/>
    <col min="27" max="27" width="14" style="629" customWidth="1"/>
    <col min="28" max="28" width="3.140625" style="628" customWidth="1"/>
    <col min="29" max="30" width="0" style="628" hidden="1" customWidth="1"/>
    <col min="31" max="16384" width="9.140625" style="628" hidden="1"/>
  </cols>
  <sheetData>
    <row r="1" spans="1:27" ht="60" customHeight="1">
      <c r="A1" s="653"/>
      <c r="B1" s="652"/>
      <c r="C1" s="652"/>
      <c r="D1" s="652"/>
      <c r="E1" s="652"/>
      <c r="F1" s="651"/>
      <c r="G1" s="651"/>
      <c r="H1" s="651"/>
      <c r="I1" s="651"/>
      <c r="J1" s="651"/>
      <c r="K1" s="651"/>
      <c r="L1" s="661"/>
      <c r="M1" s="650"/>
      <c r="N1" s="650"/>
      <c r="O1" s="650"/>
      <c r="P1" s="655"/>
      <c r="Q1" s="829"/>
      <c r="R1" s="830"/>
      <c r="S1" s="830"/>
      <c r="T1" s="830"/>
      <c r="U1" s="830"/>
      <c r="V1" s="830"/>
      <c r="W1" s="2104" t="s">
        <v>488</v>
      </c>
      <c r="X1" s="2104"/>
      <c r="Y1" s="2104"/>
      <c r="Z1" s="2104"/>
      <c r="AA1" s="2104"/>
    </row>
    <row r="2" spans="1:27" ht="11.25" customHeight="1">
      <c r="A2" s="653"/>
      <c r="B2" s="652"/>
      <c r="C2" s="652"/>
      <c r="D2" s="652"/>
      <c r="E2" s="652"/>
      <c r="F2" s="651"/>
      <c r="G2" s="651"/>
      <c r="H2" s="651"/>
      <c r="I2" s="651"/>
      <c r="J2" s="651"/>
      <c r="K2" s="651"/>
      <c r="L2" s="661"/>
      <c r="M2" s="650"/>
      <c r="N2" s="650"/>
      <c r="O2" s="650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0"/>
      <c r="AA2" s="650"/>
    </row>
    <row r="3" spans="1:27" ht="21.75">
      <c r="A3" s="2079" t="s">
        <v>145</v>
      </c>
      <c r="B3" s="2079"/>
      <c r="C3" s="2079"/>
      <c r="D3" s="2079"/>
      <c r="E3" s="2079"/>
      <c r="F3" s="2079"/>
      <c r="G3" s="2079"/>
      <c r="H3" s="2079"/>
      <c r="I3" s="2079"/>
      <c r="J3" s="2079"/>
      <c r="K3" s="2079"/>
      <c r="L3" s="2079"/>
      <c r="M3" s="2079"/>
      <c r="N3" s="2079"/>
      <c r="O3" s="2079"/>
      <c r="P3" s="2079"/>
      <c r="Q3" s="2079"/>
      <c r="R3" s="2079"/>
      <c r="S3" s="2079"/>
      <c r="T3" s="2079"/>
      <c r="U3" s="2079"/>
      <c r="V3" s="2079"/>
      <c r="W3" s="2079"/>
      <c r="X3" s="2079"/>
      <c r="Y3" s="2079"/>
      <c r="Z3" s="2079"/>
      <c r="AA3" s="2079"/>
    </row>
    <row r="4" spans="1:27" ht="44.25" customHeight="1">
      <c r="A4" s="2080" t="s">
        <v>146</v>
      </c>
      <c r="B4" s="2080"/>
      <c r="C4" s="2080"/>
      <c r="D4" s="2080"/>
      <c r="E4" s="2080"/>
      <c r="F4" s="2080"/>
      <c r="G4" s="2080"/>
      <c r="H4" s="2080"/>
      <c r="I4" s="2080"/>
      <c r="J4" s="2080"/>
      <c r="K4" s="2080"/>
      <c r="L4" s="2080"/>
      <c r="M4" s="2080"/>
      <c r="N4" s="2080"/>
      <c r="O4" s="2080"/>
      <c r="P4" s="2080"/>
      <c r="Q4" s="2080"/>
      <c r="R4" s="2080"/>
      <c r="S4" s="2080"/>
      <c r="T4" s="2080"/>
      <c r="U4" s="2080"/>
      <c r="V4" s="2080"/>
      <c r="W4" s="2080"/>
      <c r="X4" s="2080"/>
      <c r="Y4" s="2080"/>
      <c r="Z4" s="2080"/>
      <c r="AA4" s="2080"/>
    </row>
    <row r="5" spans="1:27" ht="6" customHeight="1" thickBot="1">
      <c r="A5" s="649"/>
      <c r="B5" s="648"/>
      <c r="C5" s="648"/>
      <c r="D5" s="648"/>
      <c r="E5" s="648"/>
      <c r="F5" s="647"/>
      <c r="G5" s="647"/>
      <c r="H5" s="647"/>
      <c r="I5" s="647"/>
      <c r="J5" s="647"/>
      <c r="K5" s="647"/>
      <c r="L5" s="662"/>
      <c r="M5" s="647"/>
      <c r="N5" s="647"/>
      <c r="O5" s="647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47"/>
      <c r="AA5" s="646"/>
    </row>
    <row r="6" spans="1:27" ht="15.75" customHeight="1" thickTop="1">
      <c r="A6" s="2081" t="s">
        <v>147</v>
      </c>
      <c r="B6" s="2084" t="s">
        <v>106</v>
      </c>
      <c r="C6" s="2085"/>
      <c r="D6" s="2085" t="s">
        <v>107</v>
      </c>
      <c r="E6" s="2085"/>
      <c r="F6" s="2085" t="s">
        <v>108</v>
      </c>
      <c r="G6" s="2085"/>
      <c r="H6" s="2085"/>
      <c r="I6" s="2085"/>
      <c r="J6" s="2088" t="s">
        <v>109</v>
      </c>
      <c r="K6" s="2089"/>
      <c r="L6" s="1912" t="s">
        <v>110</v>
      </c>
      <c r="M6" s="2088" t="s">
        <v>111</v>
      </c>
      <c r="N6" s="2092"/>
      <c r="O6" s="2092"/>
      <c r="P6" s="2093"/>
      <c r="Q6" s="2093"/>
      <c r="R6" s="2093"/>
      <c r="S6" s="2093"/>
      <c r="T6" s="2093"/>
      <c r="U6" s="2093"/>
      <c r="V6" s="2093"/>
      <c r="W6" s="2093"/>
      <c r="X6" s="2093"/>
      <c r="Y6" s="2093"/>
      <c r="Z6" s="2093"/>
      <c r="AA6" s="2094"/>
    </row>
    <row r="7" spans="1:27" ht="18" customHeight="1">
      <c r="A7" s="2082"/>
      <c r="B7" s="2086"/>
      <c r="C7" s="2087"/>
      <c r="D7" s="2087"/>
      <c r="E7" s="2087"/>
      <c r="F7" s="2087"/>
      <c r="G7" s="2087"/>
      <c r="H7" s="2087"/>
      <c r="I7" s="2087"/>
      <c r="J7" s="2090"/>
      <c r="K7" s="2075"/>
      <c r="L7" s="1913"/>
      <c r="M7" s="2095"/>
      <c r="N7" s="2096"/>
      <c r="O7" s="2096"/>
      <c r="P7" s="2096"/>
      <c r="Q7" s="2096"/>
      <c r="R7" s="2096"/>
      <c r="S7" s="2096"/>
      <c r="T7" s="2096"/>
      <c r="U7" s="2096"/>
      <c r="V7" s="2096"/>
      <c r="W7" s="2096"/>
      <c r="X7" s="2096"/>
      <c r="Y7" s="2096"/>
      <c r="Z7" s="2096"/>
      <c r="AA7" s="2097"/>
    </row>
    <row r="8" spans="1:27">
      <c r="A8" s="2082"/>
      <c r="B8" s="2057" t="s">
        <v>112</v>
      </c>
      <c r="C8" s="2058"/>
      <c r="D8" s="2061" t="s">
        <v>113</v>
      </c>
      <c r="E8" s="2058"/>
      <c r="F8" s="2061" t="s">
        <v>114</v>
      </c>
      <c r="G8" s="2063"/>
      <c r="H8" s="2063"/>
      <c r="I8" s="2058"/>
      <c r="J8" s="2090"/>
      <c r="K8" s="2075"/>
      <c r="L8" s="1913"/>
      <c r="M8" s="2098"/>
      <c r="N8" s="2099"/>
      <c r="O8" s="2099"/>
      <c r="P8" s="2099"/>
      <c r="Q8" s="2099"/>
      <c r="R8" s="2099"/>
      <c r="S8" s="2099"/>
      <c r="T8" s="2099"/>
      <c r="U8" s="2099"/>
      <c r="V8" s="2099"/>
      <c r="W8" s="2099"/>
      <c r="X8" s="2099"/>
      <c r="Y8" s="2099"/>
      <c r="Z8" s="2099"/>
      <c r="AA8" s="2100"/>
    </row>
    <row r="9" spans="1:27" ht="22.5" customHeight="1">
      <c r="A9" s="2082"/>
      <c r="B9" s="2059"/>
      <c r="C9" s="2060"/>
      <c r="D9" s="2062"/>
      <c r="E9" s="2060"/>
      <c r="F9" s="2062"/>
      <c r="G9" s="2064"/>
      <c r="H9" s="2064"/>
      <c r="I9" s="2060"/>
      <c r="J9" s="2090"/>
      <c r="K9" s="2075"/>
      <c r="L9" s="1913"/>
      <c r="M9" s="2065" t="s">
        <v>148</v>
      </c>
      <c r="N9" s="2065" t="s">
        <v>116</v>
      </c>
      <c r="O9" s="2065" t="s">
        <v>117</v>
      </c>
      <c r="P9" s="2043">
        <v>2013</v>
      </c>
      <c r="Q9" s="2043">
        <v>2014</v>
      </c>
      <c r="R9" s="2040">
        <v>2015</v>
      </c>
      <c r="S9" s="2040">
        <v>2016</v>
      </c>
      <c r="T9" s="2040">
        <v>2017</v>
      </c>
      <c r="U9" s="2040">
        <v>2018</v>
      </c>
      <c r="V9" s="2040">
        <v>2019</v>
      </c>
      <c r="W9" s="2040">
        <v>2020</v>
      </c>
      <c r="X9" s="2040">
        <v>2021</v>
      </c>
      <c r="Y9" s="2040">
        <v>2022</v>
      </c>
      <c r="Z9" s="2051" t="s">
        <v>118</v>
      </c>
      <c r="AA9" s="2052"/>
    </row>
    <row r="10" spans="1:27">
      <c r="A10" s="2070"/>
      <c r="B10" s="2070" t="s">
        <v>119</v>
      </c>
      <c r="C10" s="2071"/>
      <c r="D10" s="2071"/>
      <c r="E10" s="2071"/>
      <c r="F10" s="2071"/>
      <c r="G10" s="2071"/>
      <c r="H10" s="2071"/>
      <c r="I10" s="2072"/>
      <c r="J10" s="2090"/>
      <c r="K10" s="2075"/>
      <c r="L10" s="1913"/>
      <c r="M10" s="2066"/>
      <c r="N10" s="2068"/>
      <c r="O10" s="2068"/>
      <c r="P10" s="2044"/>
      <c r="Q10" s="2044"/>
      <c r="R10" s="2041"/>
      <c r="S10" s="2041"/>
      <c r="T10" s="2041"/>
      <c r="U10" s="2041"/>
      <c r="V10" s="2041"/>
      <c r="W10" s="2041"/>
      <c r="X10" s="2041"/>
      <c r="Y10" s="2041"/>
      <c r="Z10" s="2053"/>
      <c r="AA10" s="2054"/>
    </row>
    <row r="11" spans="1:27">
      <c r="A11" s="2070"/>
      <c r="B11" s="2073"/>
      <c r="C11" s="2074"/>
      <c r="D11" s="2074"/>
      <c r="E11" s="2074"/>
      <c r="F11" s="2074"/>
      <c r="G11" s="2074"/>
      <c r="H11" s="2074"/>
      <c r="I11" s="2075"/>
      <c r="J11" s="2091"/>
      <c r="K11" s="2078"/>
      <c r="L11" s="1913"/>
      <c r="M11" s="2066"/>
      <c r="N11" s="2068"/>
      <c r="O11" s="2068"/>
      <c r="P11" s="2044"/>
      <c r="Q11" s="2044"/>
      <c r="R11" s="2041"/>
      <c r="S11" s="2041"/>
      <c r="T11" s="2041"/>
      <c r="U11" s="2041"/>
      <c r="V11" s="2041"/>
      <c r="W11" s="2041"/>
      <c r="X11" s="2041"/>
      <c r="Y11" s="2041"/>
      <c r="Z11" s="2053"/>
      <c r="AA11" s="2054"/>
    </row>
    <row r="12" spans="1:27">
      <c r="A12" s="2070"/>
      <c r="B12" s="2073"/>
      <c r="C12" s="2074"/>
      <c r="D12" s="2074"/>
      <c r="E12" s="2074"/>
      <c r="F12" s="2074"/>
      <c r="G12" s="2074"/>
      <c r="H12" s="2074"/>
      <c r="I12" s="2075"/>
      <c r="J12" s="2046" t="s">
        <v>120</v>
      </c>
      <c r="K12" s="2046" t="s">
        <v>121</v>
      </c>
      <c r="L12" s="2048" t="s">
        <v>122</v>
      </c>
      <c r="M12" s="2066"/>
      <c r="N12" s="2068"/>
      <c r="O12" s="2068"/>
      <c r="P12" s="2044"/>
      <c r="Q12" s="2044"/>
      <c r="R12" s="2041"/>
      <c r="S12" s="2041"/>
      <c r="T12" s="2041"/>
      <c r="U12" s="2041"/>
      <c r="V12" s="2041"/>
      <c r="W12" s="2041"/>
      <c r="X12" s="2041"/>
      <c r="Y12" s="2041"/>
      <c r="Z12" s="2053"/>
      <c r="AA12" s="2054"/>
    </row>
    <row r="13" spans="1:27" ht="5.25" customHeight="1">
      <c r="A13" s="2070"/>
      <c r="B13" s="2076"/>
      <c r="C13" s="2077"/>
      <c r="D13" s="2077"/>
      <c r="E13" s="2077"/>
      <c r="F13" s="2077"/>
      <c r="G13" s="2077"/>
      <c r="H13" s="2077"/>
      <c r="I13" s="2078"/>
      <c r="J13" s="2046"/>
      <c r="K13" s="2046"/>
      <c r="L13" s="2049"/>
      <c r="M13" s="2066"/>
      <c r="N13" s="2068"/>
      <c r="O13" s="2068"/>
      <c r="P13" s="2044"/>
      <c r="Q13" s="2044"/>
      <c r="R13" s="2041"/>
      <c r="S13" s="2041"/>
      <c r="T13" s="2041"/>
      <c r="U13" s="2041"/>
      <c r="V13" s="2041"/>
      <c r="W13" s="2041"/>
      <c r="X13" s="2041"/>
      <c r="Y13" s="2041"/>
      <c r="Z13" s="2053"/>
      <c r="AA13" s="2054"/>
    </row>
    <row r="14" spans="1:27">
      <c r="A14" s="2070"/>
      <c r="B14" s="2070" t="s">
        <v>123</v>
      </c>
      <c r="C14" s="2071"/>
      <c r="D14" s="2071"/>
      <c r="E14" s="2071"/>
      <c r="F14" s="2071"/>
      <c r="G14" s="2071"/>
      <c r="H14" s="2071"/>
      <c r="I14" s="2072"/>
      <c r="J14" s="2046"/>
      <c r="K14" s="2046"/>
      <c r="L14" s="2049"/>
      <c r="M14" s="2066"/>
      <c r="N14" s="2068"/>
      <c r="O14" s="2068"/>
      <c r="P14" s="2044"/>
      <c r="Q14" s="2044"/>
      <c r="R14" s="2041"/>
      <c r="S14" s="2041"/>
      <c r="T14" s="2041"/>
      <c r="U14" s="2041"/>
      <c r="V14" s="2041"/>
      <c r="W14" s="2041"/>
      <c r="X14" s="2041"/>
      <c r="Y14" s="2041"/>
      <c r="Z14" s="2053"/>
      <c r="AA14" s="2054"/>
    </row>
    <row r="15" spans="1:27">
      <c r="A15" s="2070"/>
      <c r="B15" s="2073"/>
      <c r="C15" s="2074"/>
      <c r="D15" s="2074"/>
      <c r="E15" s="2074"/>
      <c r="F15" s="2074"/>
      <c r="G15" s="2074"/>
      <c r="H15" s="2074"/>
      <c r="I15" s="2075"/>
      <c r="J15" s="2046"/>
      <c r="K15" s="2046"/>
      <c r="L15" s="2049"/>
      <c r="M15" s="2066"/>
      <c r="N15" s="2068"/>
      <c r="O15" s="2068"/>
      <c r="P15" s="2044"/>
      <c r="Q15" s="2044"/>
      <c r="R15" s="2041"/>
      <c r="S15" s="2041"/>
      <c r="T15" s="2041"/>
      <c r="U15" s="2041"/>
      <c r="V15" s="2041"/>
      <c r="W15" s="2041"/>
      <c r="X15" s="2041"/>
      <c r="Y15" s="2041"/>
      <c r="Z15" s="2053"/>
      <c r="AA15" s="2054"/>
    </row>
    <row r="16" spans="1:27">
      <c r="A16" s="2070"/>
      <c r="B16" s="2073"/>
      <c r="C16" s="2074"/>
      <c r="D16" s="2074"/>
      <c r="E16" s="2074"/>
      <c r="F16" s="2074"/>
      <c r="G16" s="2074"/>
      <c r="H16" s="2074"/>
      <c r="I16" s="2075"/>
      <c r="J16" s="2046"/>
      <c r="K16" s="2046"/>
      <c r="L16" s="2049"/>
      <c r="M16" s="2066"/>
      <c r="N16" s="2068"/>
      <c r="O16" s="2068"/>
      <c r="P16" s="2044"/>
      <c r="Q16" s="2044"/>
      <c r="R16" s="2041"/>
      <c r="S16" s="2041"/>
      <c r="T16" s="2041"/>
      <c r="U16" s="2041"/>
      <c r="V16" s="2041"/>
      <c r="W16" s="2041"/>
      <c r="X16" s="2041"/>
      <c r="Y16" s="2041"/>
      <c r="Z16" s="2053"/>
      <c r="AA16" s="2054"/>
    </row>
    <row r="17" spans="1:27" ht="10.5" customHeight="1" thickBot="1">
      <c r="A17" s="2083"/>
      <c r="B17" s="2101"/>
      <c r="C17" s="2102"/>
      <c r="D17" s="2102"/>
      <c r="E17" s="2102"/>
      <c r="F17" s="2102"/>
      <c r="G17" s="2102"/>
      <c r="H17" s="2102"/>
      <c r="I17" s="2103"/>
      <c r="J17" s="2047"/>
      <c r="K17" s="2047"/>
      <c r="L17" s="2050"/>
      <c r="M17" s="2067"/>
      <c r="N17" s="2069"/>
      <c r="O17" s="2069"/>
      <c r="P17" s="2045"/>
      <c r="Q17" s="2045"/>
      <c r="R17" s="2042"/>
      <c r="S17" s="2042"/>
      <c r="T17" s="2042"/>
      <c r="U17" s="2042"/>
      <c r="V17" s="2042"/>
      <c r="W17" s="2042"/>
      <c r="X17" s="2042"/>
      <c r="Y17" s="2042"/>
      <c r="Z17" s="2055"/>
      <c r="AA17" s="2056"/>
    </row>
    <row r="18" spans="1:27" ht="13.5" hidden="1" customHeight="1" thickTop="1">
      <c r="A18" s="1898">
        <v>1</v>
      </c>
      <c r="B18" s="1902" t="s">
        <v>106</v>
      </c>
      <c r="C18" s="1903"/>
      <c r="D18" s="1903">
        <v>801</v>
      </c>
      <c r="E18" s="1903"/>
      <c r="F18" s="1906" t="s">
        <v>150</v>
      </c>
      <c r="G18" s="1906"/>
      <c r="H18" s="1906"/>
      <c r="I18" s="1906"/>
      <c r="J18" s="1908">
        <v>2010</v>
      </c>
      <c r="K18" s="1908">
        <v>2012</v>
      </c>
      <c r="L18" s="1912">
        <f>SUM(N18,L24)</f>
        <v>0</v>
      </c>
      <c r="M18" s="1914" t="s">
        <v>125</v>
      </c>
      <c r="N18" s="1916">
        <f>SUM(N22:N29)</f>
        <v>0</v>
      </c>
      <c r="O18" s="1918" t="s">
        <v>117</v>
      </c>
      <c r="P18" s="1890">
        <f>SUM(P22:P29)</f>
        <v>0</v>
      </c>
      <c r="Q18" s="1890">
        <f>SUM(Q22:Q29)</f>
        <v>0</v>
      </c>
      <c r="R18" s="1890">
        <f>SUM(R22:R29)</f>
        <v>0</v>
      </c>
      <c r="S18" s="1890">
        <f>SUM(S22:S29)</f>
        <v>0</v>
      </c>
      <c r="T18" s="1890">
        <f t="shared" ref="T18:Y18" si="0">SUM(T22:T29)</f>
        <v>0</v>
      </c>
      <c r="U18" s="1890">
        <f t="shared" si="0"/>
        <v>0</v>
      </c>
      <c r="V18" s="1890">
        <f t="shared" si="0"/>
        <v>0</v>
      </c>
      <c r="W18" s="1890">
        <f t="shared" si="0"/>
        <v>0</v>
      </c>
      <c r="X18" s="1890">
        <f t="shared" si="0"/>
        <v>0</v>
      </c>
      <c r="Y18" s="1890">
        <f t="shared" si="0"/>
        <v>0</v>
      </c>
      <c r="Z18" s="1877" t="e">
        <f>SUM(AA22:AA29)</f>
        <v>#REF!</v>
      </c>
      <c r="AA18" s="1878"/>
    </row>
    <row r="19" spans="1:27" ht="12.75" hidden="1" customHeight="1">
      <c r="A19" s="1899"/>
      <c r="B19" s="1904"/>
      <c r="C19" s="1905"/>
      <c r="D19" s="1905"/>
      <c r="E19" s="1905"/>
      <c r="F19" s="1907"/>
      <c r="G19" s="1907"/>
      <c r="H19" s="1907"/>
      <c r="I19" s="1907"/>
      <c r="J19" s="1909"/>
      <c r="K19" s="1909"/>
      <c r="L19" s="1913"/>
      <c r="M19" s="1915"/>
      <c r="N19" s="1917"/>
      <c r="O19" s="1919"/>
      <c r="P19" s="1891"/>
      <c r="Q19" s="1891"/>
      <c r="R19" s="1891"/>
      <c r="S19" s="1891"/>
      <c r="T19" s="1891"/>
      <c r="U19" s="1891"/>
      <c r="V19" s="1891"/>
      <c r="W19" s="1891"/>
      <c r="X19" s="1891"/>
      <c r="Y19" s="1891"/>
      <c r="Z19" s="1879"/>
      <c r="AA19" s="1880"/>
    </row>
    <row r="20" spans="1:27" ht="12.75" hidden="1" customHeight="1">
      <c r="A20" s="1899"/>
      <c r="B20" s="1921" t="s">
        <v>112</v>
      </c>
      <c r="C20" s="1919"/>
      <c r="D20" s="1919">
        <v>80195</v>
      </c>
      <c r="E20" s="1919"/>
      <c r="F20" s="1907" t="s">
        <v>139</v>
      </c>
      <c r="G20" s="1907"/>
      <c r="H20" s="1907"/>
      <c r="I20" s="1907"/>
      <c r="J20" s="1909"/>
      <c r="K20" s="1909"/>
      <c r="L20" s="1913"/>
      <c r="M20" s="1915"/>
      <c r="N20" s="1917"/>
      <c r="O20" s="1919"/>
      <c r="P20" s="1891"/>
      <c r="Q20" s="1891"/>
      <c r="R20" s="1891"/>
      <c r="S20" s="1891"/>
      <c r="T20" s="1891"/>
      <c r="U20" s="1891"/>
      <c r="V20" s="1891"/>
      <c r="W20" s="1891"/>
      <c r="X20" s="1891"/>
      <c r="Y20" s="1891"/>
      <c r="Z20" s="1879"/>
      <c r="AA20" s="1880"/>
    </row>
    <row r="21" spans="1:27" ht="12.75" hidden="1" customHeight="1">
      <c r="A21" s="1899"/>
      <c r="B21" s="1922"/>
      <c r="C21" s="1923"/>
      <c r="D21" s="1923"/>
      <c r="E21" s="1923"/>
      <c r="F21" s="1924"/>
      <c r="G21" s="1924"/>
      <c r="H21" s="1924"/>
      <c r="I21" s="1924"/>
      <c r="J21" s="1909"/>
      <c r="K21" s="1909"/>
      <c r="L21" s="1913"/>
      <c r="M21" s="1915"/>
      <c r="N21" s="1917"/>
      <c r="O21" s="1919"/>
      <c r="P21" s="1891"/>
      <c r="Q21" s="1891"/>
      <c r="R21" s="1891"/>
      <c r="S21" s="1891"/>
      <c r="T21" s="1891"/>
      <c r="U21" s="1891"/>
      <c r="V21" s="1891"/>
      <c r="W21" s="1891"/>
      <c r="X21" s="1891"/>
      <c r="Y21" s="1891"/>
      <c r="Z21" s="1894"/>
      <c r="AA21" s="1895"/>
    </row>
    <row r="22" spans="1:27" ht="12.75" hidden="1" customHeight="1">
      <c r="A22" s="1900"/>
      <c r="B22" s="1900" t="s">
        <v>151</v>
      </c>
      <c r="C22" s="2032"/>
      <c r="D22" s="2032"/>
      <c r="E22" s="2032"/>
      <c r="F22" s="2032"/>
      <c r="G22" s="2032"/>
      <c r="H22" s="2032"/>
      <c r="I22" s="2033"/>
      <c r="J22" s="1910"/>
      <c r="K22" s="1909"/>
      <c r="L22" s="1913"/>
      <c r="M22" s="1939" t="s">
        <v>152</v>
      </c>
      <c r="N22" s="1950">
        <f>SUM(P22:Y29)</f>
        <v>0</v>
      </c>
      <c r="O22" s="1919" t="s">
        <v>117</v>
      </c>
      <c r="P22" s="1955">
        <v>0</v>
      </c>
      <c r="Q22" s="1955">
        <v>0</v>
      </c>
      <c r="R22" s="1955">
        <v>0</v>
      </c>
      <c r="S22" s="1955">
        <v>0</v>
      </c>
      <c r="T22" s="1955">
        <v>0</v>
      </c>
      <c r="U22" s="1955">
        <v>0</v>
      </c>
      <c r="V22" s="1955">
        <v>0</v>
      </c>
      <c r="W22" s="1955">
        <v>0</v>
      </c>
      <c r="X22" s="1955">
        <v>0</v>
      </c>
      <c r="Y22" s="1955">
        <v>0</v>
      </c>
      <c r="Z22" s="2016" t="s">
        <v>154</v>
      </c>
      <c r="AA22" s="1897" t="e">
        <f>#REF!</f>
        <v>#REF!</v>
      </c>
    </row>
    <row r="23" spans="1:27" ht="12.75" hidden="1" customHeight="1">
      <c r="A23" s="1900"/>
      <c r="B23" s="2034"/>
      <c r="C23" s="2035"/>
      <c r="D23" s="2035"/>
      <c r="E23" s="2035"/>
      <c r="F23" s="2035"/>
      <c r="G23" s="2035"/>
      <c r="H23" s="2035"/>
      <c r="I23" s="2036"/>
      <c r="J23" s="1910"/>
      <c r="K23" s="1909"/>
      <c r="L23" s="1913"/>
      <c r="M23" s="1940"/>
      <c r="N23" s="1951"/>
      <c r="O23" s="1919"/>
      <c r="P23" s="1956"/>
      <c r="Q23" s="1956"/>
      <c r="R23" s="1956"/>
      <c r="S23" s="1956"/>
      <c r="T23" s="1956"/>
      <c r="U23" s="1956"/>
      <c r="V23" s="1956"/>
      <c r="W23" s="1956"/>
      <c r="X23" s="1956"/>
      <c r="Y23" s="1956"/>
      <c r="Z23" s="2008"/>
      <c r="AA23" s="1886"/>
    </row>
    <row r="24" spans="1:27" ht="12.75" hidden="1" customHeight="1">
      <c r="A24" s="1900"/>
      <c r="B24" s="2034"/>
      <c r="C24" s="2035"/>
      <c r="D24" s="2035"/>
      <c r="E24" s="2035"/>
      <c r="F24" s="2035"/>
      <c r="G24" s="2035"/>
      <c r="H24" s="2035"/>
      <c r="I24" s="2036"/>
      <c r="J24" s="1910"/>
      <c r="K24" s="1909"/>
      <c r="L24" s="1931">
        <v>0</v>
      </c>
      <c r="M24" s="1940"/>
      <c r="N24" s="1951"/>
      <c r="O24" s="1919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2008" t="s">
        <v>163</v>
      </c>
      <c r="AA24" s="1886">
        <f>P18</f>
        <v>0</v>
      </c>
    </row>
    <row r="25" spans="1:27" ht="12.75" hidden="1" customHeight="1">
      <c r="A25" s="1900"/>
      <c r="B25" s="2037"/>
      <c r="C25" s="2038"/>
      <c r="D25" s="2038"/>
      <c r="E25" s="2038"/>
      <c r="F25" s="2038"/>
      <c r="G25" s="2038"/>
      <c r="H25" s="2038"/>
      <c r="I25" s="2039"/>
      <c r="J25" s="1910"/>
      <c r="K25" s="1909"/>
      <c r="L25" s="1931"/>
      <c r="M25" s="1940"/>
      <c r="N25" s="1951"/>
      <c r="O25" s="1919"/>
      <c r="P25" s="1956"/>
      <c r="Q25" s="1956"/>
      <c r="R25" s="1956"/>
      <c r="S25" s="1956"/>
      <c r="T25" s="1956"/>
      <c r="U25" s="1956"/>
      <c r="V25" s="1956"/>
      <c r="W25" s="1956"/>
      <c r="X25" s="1956"/>
      <c r="Y25" s="1956"/>
      <c r="Z25" s="2008"/>
      <c r="AA25" s="1886"/>
    </row>
    <row r="26" spans="1:27" ht="12.75" hidden="1" customHeight="1">
      <c r="A26" s="1900"/>
      <c r="B26" s="1933" t="s">
        <v>155</v>
      </c>
      <c r="C26" s="1934"/>
      <c r="D26" s="1934"/>
      <c r="E26" s="1934"/>
      <c r="F26" s="1934"/>
      <c r="G26" s="1934"/>
      <c r="H26" s="1934"/>
      <c r="I26" s="1935"/>
      <c r="J26" s="1909"/>
      <c r="K26" s="1909"/>
      <c r="L26" s="1931"/>
      <c r="M26" s="1940"/>
      <c r="N26" s="1951"/>
      <c r="O26" s="1919"/>
      <c r="P26" s="1956"/>
      <c r="Q26" s="1956"/>
      <c r="R26" s="1956"/>
      <c r="S26" s="1956"/>
      <c r="T26" s="1956"/>
      <c r="U26" s="1956"/>
      <c r="V26" s="1956"/>
      <c r="W26" s="1956"/>
      <c r="X26" s="1956"/>
      <c r="Y26" s="1956"/>
      <c r="Z26" s="2004"/>
      <c r="AA26" s="2006">
        <f>Q18</f>
        <v>0</v>
      </c>
    </row>
    <row r="27" spans="1:27" ht="12.75" hidden="1" customHeight="1">
      <c r="A27" s="1900"/>
      <c r="B27" s="1933"/>
      <c r="C27" s="1934"/>
      <c r="D27" s="1934"/>
      <c r="E27" s="1934"/>
      <c r="F27" s="1934"/>
      <c r="G27" s="1934"/>
      <c r="H27" s="1934"/>
      <c r="I27" s="1935"/>
      <c r="J27" s="1909"/>
      <c r="K27" s="1909"/>
      <c r="L27" s="1931"/>
      <c r="M27" s="1940"/>
      <c r="N27" s="1951"/>
      <c r="O27" s="1919"/>
      <c r="P27" s="1956"/>
      <c r="Q27" s="1956"/>
      <c r="R27" s="1956"/>
      <c r="S27" s="1956"/>
      <c r="T27" s="1956"/>
      <c r="U27" s="1956"/>
      <c r="V27" s="1956"/>
      <c r="W27" s="1956"/>
      <c r="X27" s="1956"/>
      <c r="Y27" s="1956"/>
      <c r="Z27" s="2004"/>
      <c r="AA27" s="2006"/>
    </row>
    <row r="28" spans="1:27" ht="12.75" hidden="1" customHeight="1">
      <c r="A28" s="1900"/>
      <c r="B28" s="1933"/>
      <c r="C28" s="1934"/>
      <c r="D28" s="1934"/>
      <c r="E28" s="1934"/>
      <c r="F28" s="1934"/>
      <c r="G28" s="1934"/>
      <c r="H28" s="1934"/>
      <c r="I28" s="1935"/>
      <c r="J28" s="1909"/>
      <c r="K28" s="1909"/>
      <c r="L28" s="1931"/>
      <c r="M28" s="1940"/>
      <c r="N28" s="1951"/>
      <c r="O28" s="1919"/>
      <c r="P28" s="1956"/>
      <c r="Q28" s="1956"/>
      <c r="R28" s="1956"/>
      <c r="S28" s="1956"/>
      <c r="T28" s="1956"/>
      <c r="U28" s="1956"/>
      <c r="V28" s="1956"/>
      <c r="W28" s="1956"/>
      <c r="X28" s="1956"/>
      <c r="Y28" s="1956"/>
      <c r="Z28" s="2004"/>
      <c r="AA28" s="2006">
        <f>R18</f>
        <v>0</v>
      </c>
    </row>
    <row r="29" spans="1:27" ht="4.5" hidden="1" customHeight="1" thickBot="1">
      <c r="A29" s="1901"/>
      <c r="B29" s="1936"/>
      <c r="C29" s="1937"/>
      <c r="D29" s="1937"/>
      <c r="E29" s="1937"/>
      <c r="F29" s="1937"/>
      <c r="G29" s="1937"/>
      <c r="H29" s="1937"/>
      <c r="I29" s="1938"/>
      <c r="J29" s="1911"/>
      <c r="K29" s="1911"/>
      <c r="L29" s="1932"/>
      <c r="M29" s="1941"/>
      <c r="N29" s="2031"/>
      <c r="O29" s="1920"/>
      <c r="P29" s="1957"/>
      <c r="Q29" s="1957"/>
      <c r="R29" s="1957"/>
      <c r="S29" s="1957"/>
      <c r="T29" s="1957"/>
      <c r="U29" s="1957"/>
      <c r="V29" s="1957"/>
      <c r="W29" s="1957"/>
      <c r="X29" s="1957"/>
      <c r="Y29" s="1957"/>
      <c r="Z29" s="2005"/>
      <c r="AA29" s="2007"/>
    </row>
    <row r="30" spans="1:27" ht="12" hidden="1" customHeight="1" thickTop="1" thickBot="1">
      <c r="A30" s="637"/>
      <c r="B30" s="643"/>
      <c r="C30" s="643"/>
      <c r="D30" s="643"/>
      <c r="E30" s="643"/>
      <c r="F30" s="643"/>
      <c r="G30" s="643"/>
      <c r="H30" s="643"/>
      <c r="I30" s="643"/>
      <c r="J30" s="637"/>
      <c r="K30" s="637"/>
      <c r="L30" s="663"/>
      <c r="M30" s="836"/>
      <c r="N30" s="637"/>
      <c r="O30" s="63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36"/>
      <c r="AA30" s="635"/>
    </row>
    <row r="31" spans="1:27" ht="13.5" hidden="1" customHeight="1" thickTop="1">
      <c r="A31" s="1898">
        <v>2</v>
      </c>
      <c r="B31" s="1902" t="s">
        <v>106</v>
      </c>
      <c r="C31" s="1903"/>
      <c r="D31" s="1903">
        <v>801</v>
      </c>
      <c r="E31" s="1903"/>
      <c r="F31" s="1906" t="s">
        <v>150</v>
      </c>
      <c r="G31" s="1906"/>
      <c r="H31" s="1906"/>
      <c r="I31" s="1906"/>
      <c r="J31" s="1908">
        <v>2010</v>
      </c>
      <c r="K31" s="1908">
        <v>2012</v>
      </c>
      <c r="L31" s="1912">
        <f>SUM(N31,L37)</f>
        <v>0</v>
      </c>
      <c r="M31" s="1914" t="s">
        <v>125</v>
      </c>
      <c r="N31" s="1916">
        <f>SUM(N35:N42)</f>
        <v>0</v>
      </c>
      <c r="O31" s="1918" t="s">
        <v>117</v>
      </c>
      <c r="P31" s="1890">
        <f>SUM(P35:P42)</f>
        <v>0</v>
      </c>
      <c r="Q31" s="1890">
        <f>SUM(Q35:Q42)</f>
        <v>0</v>
      </c>
      <c r="R31" s="1890">
        <f>SUM(R35:R42)</f>
        <v>0</v>
      </c>
      <c r="S31" s="1890">
        <f t="shared" ref="S31:Y31" si="1">SUM(S35:S42)</f>
        <v>0</v>
      </c>
      <c r="T31" s="1890">
        <f t="shared" si="1"/>
        <v>0</v>
      </c>
      <c r="U31" s="1890">
        <f t="shared" si="1"/>
        <v>0</v>
      </c>
      <c r="V31" s="1890">
        <f t="shared" si="1"/>
        <v>0</v>
      </c>
      <c r="W31" s="1890">
        <f t="shared" si="1"/>
        <v>0</v>
      </c>
      <c r="X31" s="1890">
        <f t="shared" si="1"/>
        <v>0</v>
      </c>
      <c r="Y31" s="1890">
        <f t="shared" si="1"/>
        <v>0</v>
      </c>
      <c r="Z31" s="1877" t="e">
        <f>SUM(AA35:AA42)</f>
        <v>#REF!</v>
      </c>
      <c r="AA31" s="1878"/>
    </row>
    <row r="32" spans="1:27" ht="12.75" hidden="1" customHeight="1">
      <c r="A32" s="1899"/>
      <c r="B32" s="1904"/>
      <c r="C32" s="1905"/>
      <c r="D32" s="1905"/>
      <c r="E32" s="1905"/>
      <c r="F32" s="1907"/>
      <c r="G32" s="1907"/>
      <c r="H32" s="1907"/>
      <c r="I32" s="1907"/>
      <c r="J32" s="1909"/>
      <c r="K32" s="1909"/>
      <c r="L32" s="1913"/>
      <c r="M32" s="1915"/>
      <c r="N32" s="1917"/>
      <c r="O32" s="1919"/>
      <c r="P32" s="1891"/>
      <c r="Q32" s="1891"/>
      <c r="R32" s="1891"/>
      <c r="S32" s="1891"/>
      <c r="T32" s="1891"/>
      <c r="U32" s="1891"/>
      <c r="V32" s="1891"/>
      <c r="W32" s="1891"/>
      <c r="X32" s="1891"/>
      <c r="Y32" s="1891"/>
      <c r="Z32" s="1879"/>
      <c r="AA32" s="1880"/>
    </row>
    <row r="33" spans="1:27" ht="12.75" hidden="1" customHeight="1">
      <c r="A33" s="1899"/>
      <c r="B33" s="1921" t="s">
        <v>112</v>
      </c>
      <c r="C33" s="1919"/>
      <c r="D33" s="1919">
        <v>80195</v>
      </c>
      <c r="E33" s="1919"/>
      <c r="F33" s="1907" t="s">
        <v>139</v>
      </c>
      <c r="G33" s="1907"/>
      <c r="H33" s="1907"/>
      <c r="I33" s="1907"/>
      <c r="J33" s="1909"/>
      <c r="K33" s="1909"/>
      <c r="L33" s="1913"/>
      <c r="M33" s="1915"/>
      <c r="N33" s="1917"/>
      <c r="O33" s="1919"/>
      <c r="P33" s="1891"/>
      <c r="Q33" s="1891"/>
      <c r="R33" s="1891"/>
      <c r="S33" s="1891"/>
      <c r="T33" s="1891"/>
      <c r="U33" s="1891"/>
      <c r="V33" s="1891"/>
      <c r="W33" s="1891"/>
      <c r="X33" s="1891"/>
      <c r="Y33" s="1891"/>
      <c r="Z33" s="1879"/>
      <c r="AA33" s="1880"/>
    </row>
    <row r="34" spans="1:27" ht="12.75" hidden="1" customHeight="1">
      <c r="A34" s="1899"/>
      <c r="B34" s="1922"/>
      <c r="C34" s="1923"/>
      <c r="D34" s="1923"/>
      <c r="E34" s="1923"/>
      <c r="F34" s="1924"/>
      <c r="G34" s="1924"/>
      <c r="H34" s="1924"/>
      <c r="I34" s="1924"/>
      <c r="J34" s="1909"/>
      <c r="K34" s="1909"/>
      <c r="L34" s="1913"/>
      <c r="M34" s="1915"/>
      <c r="N34" s="1917"/>
      <c r="O34" s="1919"/>
      <c r="P34" s="1891"/>
      <c r="Q34" s="1891"/>
      <c r="R34" s="1891"/>
      <c r="S34" s="1891"/>
      <c r="T34" s="1891"/>
      <c r="U34" s="1891"/>
      <c r="V34" s="1891"/>
      <c r="W34" s="1891"/>
      <c r="X34" s="1891"/>
      <c r="Y34" s="1891"/>
      <c r="Z34" s="1894"/>
      <c r="AA34" s="1895"/>
    </row>
    <row r="35" spans="1:27" ht="12.75" hidden="1" customHeight="1">
      <c r="A35" s="1900"/>
      <c r="B35" s="1900" t="s">
        <v>156</v>
      </c>
      <c r="C35" s="2032"/>
      <c r="D35" s="2032"/>
      <c r="E35" s="2032"/>
      <c r="F35" s="2032"/>
      <c r="G35" s="2032"/>
      <c r="H35" s="2032"/>
      <c r="I35" s="2033"/>
      <c r="J35" s="1910"/>
      <c r="K35" s="1909"/>
      <c r="L35" s="1913"/>
      <c r="M35" s="1930" t="s">
        <v>152</v>
      </c>
      <c r="N35" s="1942">
        <f>SUM(P35:Y38)</f>
        <v>0</v>
      </c>
      <c r="O35" s="1919" t="s">
        <v>117</v>
      </c>
      <c r="P35" s="1892">
        <v>0</v>
      </c>
      <c r="Q35" s="1892">
        <v>0</v>
      </c>
      <c r="R35" s="1892">
        <v>0</v>
      </c>
      <c r="S35" s="1892">
        <v>0</v>
      </c>
      <c r="T35" s="1892">
        <v>0</v>
      </c>
      <c r="U35" s="1892">
        <v>0</v>
      </c>
      <c r="V35" s="1892">
        <v>0</v>
      </c>
      <c r="W35" s="1892">
        <v>0</v>
      </c>
      <c r="X35" s="1892">
        <v>0</v>
      </c>
      <c r="Y35" s="1892">
        <v>0</v>
      </c>
      <c r="Z35" s="2016" t="s">
        <v>154</v>
      </c>
      <c r="AA35" s="1897" t="e">
        <f>#REF!</f>
        <v>#REF!</v>
      </c>
    </row>
    <row r="36" spans="1:27" ht="12.75" hidden="1" customHeight="1">
      <c r="A36" s="1900"/>
      <c r="B36" s="2034"/>
      <c r="C36" s="2035"/>
      <c r="D36" s="2035"/>
      <c r="E36" s="2035"/>
      <c r="F36" s="2035"/>
      <c r="G36" s="2035"/>
      <c r="H36" s="2035"/>
      <c r="I36" s="2036"/>
      <c r="J36" s="1910"/>
      <c r="K36" s="1909"/>
      <c r="L36" s="1913"/>
      <c r="M36" s="1930"/>
      <c r="N36" s="1919"/>
      <c r="O36" s="1919"/>
      <c r="P36" s="1892"/>
      <c r="Q36" s="1892"/>
      <c r="R36" s="1892"/>
      <c r="S36" s="1892"/>
      <c r="T36" s="1892"/>
      <c r="U36" s="1892"/>
      <c r="V36" s="1892"/>
      <c r="W36" s="1892"/>
      <c r="X36" s="1892"/>
      <c r="Y36" s="1892"/>
      <c r="Z36" s="2008"/>
      <c r="AA36" s="1886"/>
    </row>
    <row r="37" spans="1:27" ht="12.75" hidden="1" customHeight="1">
      <c r="A37" s="1900"/>
      <c r="B37" s="2034"/>
      <c r="C37" s="2035"/>
      <c r="D37" s="2035"/>
      <c r="E37" s="2035"/>
      <c r="F37" s="2035"/>
      <c r="G37" s="2035"/>
      <c r="H37" s="2035"/>
      <c r="I37" s="2036"/>
      <c r="J37" s="1910"/>
      <c r="K37" s="1909"/>
      <c r="L37" s="1931">
        <v>0</v>
      </c>
      <c r="M37" s="1930"/>
      <c r="N37" s="1919"/>
      <c r="O37" s="1919"/>
      <c r="P37" s="1892"/>
      <c r="Q37" s="1892"/>
      <c r="R37" s="1892"/>
      <c r="S37" s="1892"/>
      <c r="T37" s="1892"/>
      <c r="U37" s="1892"/>
      <c r="V37" s="1892"/>
      <c r="W37" s="1892"/>
      <c r="X37" s="1892"/>
      <c r="Y37" s="1892"/>
      <c r="Z37" s="2008" t="s">
        <v>163</v>
      </c>
      <c r="AA37" s="1886">
        <f>P31</f>
        <v>0</v>
      </c>
    </row>
    <row r="38" spans="1:27" ht="5.25" hidden="1" customHeight="1">
      <c r="A38" s="1900"/>
      <c r="B38" s="2037"/>
      <c r="C38" s="2038"/>
      <c r="D38" s="2038"/>
      <c r="E38" s="2038"/>
      <c r="F38" s="2038"/>
      <c r="G38" s="2038"/>
      <c r="H38" s="2038"/>
      <c r="I38" s="2039"/>
      <c r="J38" s="1910"/>
      <c r="K38" s="1909"/>
      <c r="L38" s="1931"/>
      <c r="M38" s="1930"/>
      <c r="N38" s="1919"/>
      <c r="O38" s="1919"/>
      <c r="P38" s="1892"/>
      <c r="Q38" s="1892"/>
      <c r="R38" s="1892"/>
      <c r="S38" s="1892"/>
      <c r="T38" s="1892"/>
      <c r="U38" s="1892"/>
      <c r="V38" s="1892"/>
      <c r="W38" s="1892"/>
      <c r="X38" s="1892"/>
      <c r="Y38" s="1892"/>
      <c r="Z38" s="2008"/>
      <c r="AA38" s="1886"/>
    </row>
    <row r="39" spans="1:27" ht="12.75" hidden="1" customHeight="1">
      <c r="A39" s="1900"/>
      <c r="B39" s="1933" t="s">
        <v>157</v>
      </c>
      <c r="C39" s="1934"/>
      <c r="D39" s="1934"/>
      <c r="E39" s="1934"/>
      <c r="F39" s="1934"/>
      <c r="G39" s="1934"/>
      <c r="H39" s="1934"/>
      <c r="I39" s="1935"/>
      <c r="J39" s="1909"/>
      <c r="K39" s="1909"/>
      <c r="L39" s="1931"/>
      <c r="M39" s="1939" t="s">
        <v>406</v>
      </c>
      <c r="N39" s="1942">
        <f>SUM(P39:Y42)</f>
        <v>0</v>
      </c>
      <c r="O39" s="1919" t="s">
        <v>117</v>
      </c>
      <c r="P39" s="1892">
        <v>0</v>
      </c>
      <c r="Q39" s="1892">
        <v>0</v>
      </c>
      <c r="R39" s="1955">
        <v>0</v>
      </c>
      <c r="S39" s="1955">
        <v>0</v>
      </c>
      <c r="T39" s="1955">
        <v>0</v>
      </c>
      <c r="U39" s="1955">
        <v>0</v>
      </c>
      <c r="V39" s="1955">
        <v>0</v>
      </c>
      <c r="W39" s="1955">
        <v>0</v>
      </c>
      <c r="X39" s="1955">
        <v>0</v>
      </c>
      <c r="Y39" s="1955">
        <v>0</v>
      </c>
      <c r="Z39" s="2008"/>
      <c r="AA39" s="2006">
        <f>Q31</f>
        <v>0</v>
      </c>
    </row>
    <row r="40" spans="1:27" ht="18.75" hidden="1" customHeight="1">
      <c r="A40" s="1900"/>
      <c r="B40" s="1933"/>
      <c r="C40" s="1934"/>
      <c r="D40" s="1934"/>
      <c r="E40" s="1934"/>
      <c r="F40" s="1934"/>
      <c r="G40" s="1934"/>
      <c r="H40" s="1934"/>
      <c r="I40" s="1935"/>
      <c r="J40" s="1909"/>
      <c r="K40" s="1909"/>
      <c r="L40" s="1931"/>
      <c r="M40" s="1940"/>
      <c r="N40" s="1919"/>
      <c r="O40" s="1919"/>
      <c r="P40" s="1892"/>
      <c r="Q40" s="1892"/>
      <c r="R40" s="1956"/>
      <c r="S40" s="1956"/>
      <c r="T40" s="1956"/>
      <c r="U40" s="1956"/>
      <c r="V40" s="1956"/>
      <c r="W40" s="1956"/>
      <c r="X40" s="1956"/>
      <c r="Y40" s="1956"/>
      <c r="Z40" s="2008"/>
      <c r="AA40" s="2006"/>
    </row>
    <row r="41" spans="1:27" ht="7.5" hidden="1" customHeight="1">
      <c r="A41" s="1900"/>
      <c r="B41" s="1933"/>
      <c r="C41" s="1934"/>
      <c r="D41" s="1934"/>
      <c r="E41" s="1934"/>
      <c r="F41" s="1934"/>
      <c r="G41" s="1934"/>
      <c r="H41" s="1934"/>
      <c r="I41" s="1935"/>
      <c r="J41" s="1909"/>
      <c r="K41" s="1909"/>
      <c r="L41" s="1931"/>
      <c r="M41" s="1940"/>
      <c r="N41" s="1919"/>
      <c r="O41" s="1919"/>
      <c r="P41" s="1892"/>
      <c r="Q41" s="1892"/>
      <c r="R41" s="1956"/>
      <c r="S41" s="1956"/>
      <c r="T41" s="1956"/>
      <c r="U41" s="1956"/>
      <c r="V41" s="1956"/>
      <c r="W41" s="1956"/>
      <c r="X41" s="1956"/>
      <c r="Y41" s="1956"/>
      <c r="Z41" s="2008"/>
      <c r="AA41" s="2006">
        <f>R31</f>
        <v>0</v>
      </c>
    </row>
    <row r="42" spans="1:27" ht="11.25" hidden="1" customHeight="1" thickBot="1">
      <c r="A42" s="1901"/>
      <c r="B42" s="1936"/>
      <c r="C42" s="1937"/>
      <c r="D42" s="1937"/>
      <c r="E42" s="1937"/>
      <c r="F42" s="1937"/>
      <c r="G42" s="1937"/>
      <c r="H42" s="1937"/>
      <c r="I42" s="1938"/>
      <c r="J42" s="1911"/>
      <c r="K42" s="1911"/>
      <c r="L42" s="1932"/>
      <c r="M42" s="1941"/>
      <c r="N42" s="1920"/>
      <c r="O42" s="1920"/>
      <c r="P42" s="1893"/>
      <c r="Q42" s="1893"/>
      <c r="R42" s="1957"/>
      <c r="S42" s="1957"/>
      <c r="T42" s="1957"/>
      <c r="U42" s="1957"/>
      <c r="V42" s="1957"/>
      <c r="W42" s="1957"/>
      <c r="X42" s="1957"/>
      <c r="Y42" s="1957"/>
      <c r="Z42" s="2026"/>
      <c r="AA42" s="2007"/>
    </row>
    <row r="43" spans="1:27" ht="12.75" customHeight="1" thickTop="1" thickBot="1">
      <c r="A43" s="637"/>
      <c r="B43" s="643"/>
      <c r="C43" s="643"/>
      <c r="D43" s="643"/>
      <c r="E43" s="643"/>
      <c r="F43" s="643"/>
      <c r="G43" s="643"/>
      <c r="H43" s="643"/>
      <c r="I43" s="643"/>
      <c r="J43" s="641"/>
      <c r="K43" s="641"/>
      <c r="L43" s="663"/>
      <c r="M43" s="837"/>
      <c r="N43" s="641"/>
      <c r="O43" s="641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40"/>
      <c r="AA43" s="639"/>
    </row>
    <row r="44" spans="1:27" ht="15.75" customHeight="1" thickTop="1">
      <c r="A44" s="1898">
        <v>1</v>
      </c>
      <c r="B44" s="1902" t="s">
        <v>106</v>
      </c>
      <c r="C44" s="1903"/>
      <c r="D44" s="1903">
        <v>852</v>
      </c>
      <c r="E44" s="1903"/>
      <c r="F44" s="1906" t="s">
        <v>159</v>
      </c>
      <c r="G44" s="1906"/>
      <c r="H44" s="1906"/>
      <c r="I44" s="1906"/>
      <c r="J44" s="1908">
        <v>2008</v>
      </c>
      <c r="K44" s="1908">
        <v>2013</v>
      </c>
      <c r="L44" s="2017">
        <v>4422105.3600000003</v>
      </c>
      <c r="M44" s="1914" t="s">
        <v>125</v>
      </c>
      <c r="N44" s="1916">
        <f>SUM(N48:N59)</f>
        <v>757774</v>
      </c>
      <c r="O44" s="1918" t="s">
        <v>117</v>
      </c>
      <c r="P44" s="1890">
        <f>SUM(P48:P59)</f>
        <v>757774</v>
      </c>
      <c r="Q44" s="1890">
        <f>SUM(Q48:Q59)</f>
        <v>0</v>
      </c>
      <c r="R44" s="1890">
        <f>SUM(R48:R59)</f>
        <v>0</v>
      </c>
      <c r="S44" s="1890">
        <f t="shared" ref="S44:Y44" si="2">SUM(S48:S59)</f>
        <v>0</v>
      </c>
      <c r="T44" s="1890">
        <f t="shared" si="2"/>
        <v>0</v>
      </c>
      <c r="U44" s="1890">
        <f t="shared" si="2"/>
        <v>0</v>
      </c>
      <c r="V44" s="1890">
        <f t="shared" si="2"/>
        <v>0</v>
      </c>
      <c r="W44" s="1890">
        <f t="shared" si="2"/>
        <v>0</v>
      </c>
      <c r="X44" s="1890">
        <f t="shared" si="2"/>
        <v>0</v>
      </c>
      <c r="Y44" s="1890">
        <f t="shared" si="2"/>
        <v>0</v>
      </c>
      <c r="Z44" s="2028">
        <f>SUM(AA48:AA59)</f>
        <v>757774</v>
      </c>
      <c r="AA44" s="1878"/>
    </row>
    <row r="45" spans="1:27">
      <c r="A45" s="1899"/>
      <c r="B45" s="1904"/>
      <c r="C45" s="1905"/>
      <c r="D45" s="1905"/>
      <c r="E45" s="1905"/>
      <c r="F45" s="1907"/>
      <c r="G45" s="1907"/>
      <c r="H45" s="1907"/>
      <c r="I45" s="1907"/>
      <c r="J45" s="1909"/>
      <c r="K45" s="1909"/>
      <c r="L45" s="2018"/>
      <c r="M45" s="1915"/>
      <c r="N45" s="1917"/>
      <c r="O45" s="1919"/>
      <c r="P45" s="1891"/>
      <c r="Q45" s="1891"/>
      <c r="R45" s="1891"/>
      <c r="S45" s="1891"/>
      <c r="T45" s="1891"/>
      <c r="U45" s="1891"/>
      <c r="V45" s="1891"/>
      <c r="W45" s="1891"/>
      <c r="X45" s="1891"/>
      <c r="Y45" s="1891"/>
      <c r="Z45" s="2029"/>
      <c r="AA45" s="1880"/>
    </row>
    <row r="46" spans="1:27">
      <c r="A46" s="1899"/>
      <c r="B46" s="1921" t="s">
        <v>112</v>
      </c>
      <c r="C46" s="1919"/>
      <c r="D46" s="1919">
        <v>85214</v>
      </c>
      <c r="E46" s="1919"/>
      <c r="F46" s="1907" t="s">
        <v>160</v>
      </c>
      <c r="G46" s="1907"/>
      <c r="H46" s="1907"/>
      <c r="I46" s="1907"/>
      <c r="J46" s="1909"/>
      <c r="K46" s="1909"/>
      <c r="L46" s="2018"/>
      <c r="M46" s="1915"/>
      <c r="N46" s="1917"/>
      <c r="O46" s="1919"/>
      <c r="P46" s="1891"/>
      <c r="Q46" s="1891"/>
      <c r="R46" s="1891"/>
      <c r="S46" s="1891"/>
      <c r="T46" s="1891"/>
      <c r="U46" s="1891"/>
      <c r="V46" s="1891"/>
      <c r="W46" s="1891"/>
      <c r="X46" s="1891"/>
      <c r="Y46" s="1891"/>
      <c r="Z46" s="2029"/>
      <c r="AA46" s="1880"/>
    </row>
    <row r="47" spans="1:27" ht="38.25" customHeight="1">
      <c r="A47" s="1899"/>
      <c r="B47" s="1922"/>
      <c r="C47" s="1923"/>
      <c r="D47" s="1923"/>
      <c r="E47" s="1923"/>
      <c r="F47" s="1924"/>
      <c r="G47" s="1924"/>
      <c r="H47" s="1924"/>
      <c r="I47" s="1924"/>
      <c r="J47" s="1909"/>
      <c r="K47" s="1909"/>
      <c r="L47" s="2018"/>
      <c r="M47" s="1915"/>
      <c r="N47" s="1917"/>
      <c r="O47" s="1919"/>
      <c r="P47" s="1891"/>
      <c r="Q47" s="1891"/>
      <c r="R47" s="1891"/>
      <c r="S47" s="1891"/>
      <c r="T47" s="1891"/>
      <c r="U47" s="1891"/>
      <c r="V47" s="1891"/>
      <c r="W47" s="1891"/>
      <c r="X47" s="1891"/>
      <c r="Y47" s="1891"/>
      <c r="Z47" s="2030"/>
      <c r="AA47" s="1895"/>
    </row>
    <row r="48" spans="1:27">
      <c r="A48" s="1900"/>
      <c r="B48" s="1921" t="s">
        <v>112</v>
      </c>
      <c r="C48" s="1919"/>
      <c r="D48" s="1919">
        <v>85295</v>
      </c>
      <c r="E48" s="1919"/>
      <c r="F48" s="1907" t="s">
        <v>139</v>
      </c>
      <c r="G48" s="1907"/>
      <c r="H48" s="1907"/>
      <c r="I48" s="1907"/>
      <c r="J48" s="1910"/>
      <c r="K48" s="1909"/>
      <c r="L48" s="2018"/>
      <c r="M48" s="1930" t="s">
        <v>379</v>
      </c>
      <c r="N48" s="1942">
        <f>SUM(P48:Y51)</f>
        <v>0</v>
      </c>
      <c r="O48" s="1919" t="s">
        <v>117</v>
      </c>
      <c r="P48" s="1892">
        <v>0</v>
      </c>
      <c r="Q48" s="1892">
        <v>0</v>
      </c>
      <c r="R48" s="1892">
        <v>0</v>
      </c>
      <c r="S48" s="1892">
        <v>0</v>
      </c>
      <c r="T48" s="1892">
        <v>0</v>
      </c>
      <c r="U48" s="1892">
        <v>0</v>
      </c>
      <c r="V48" s="1892">
        <v>0</v>
      </c>
      <c r="W48" s="1892">
        <v>0</v>
      </c>
      <c r="X48" s="1892">
        <v>0</v>
      </c>
      <c r="Y48" s="1892">
        <v>0</v>
      </c>
      <c r="Z48" s="2027"/>
      <c r="AA48" s="1897"/>
    </row>
    <row r="49" spans="1:27">
      <c r="A49" s="1900"/>
      <c r="B49" s="1921"/>
      <c r="C49" s="1919"/>
      <c r="D49" s="1923"/>
      <c r="E49" s="1923"/>
      <c r="F49" s="1924"/>
      <c r="G49" s="1924"/>
      <c r="H49" s="1924"/>
      <c r="I49" s="1924"/>
      <c r="J49" s="1910"/>
      <c r="K49" s="1909"/>
      <c r="L49" s="2018"/>
      <c r="M49" s="1930"/>
      <c r="N49" s="1942"/>
      <c r="O49" s="1919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2020"/>
      <c r="AA49" s="1886"/>
    </row>
    <row r="50" spans="1:27" ht="6" customHeight="1">
      <c r="A50" s="1900"/>
      <c r="B50" s="1869" t="s">
        <v>162</v>
      </c>
      <c r="C50" s="1870"/>
      <c r="D50" s="1870"/>
      <c r="E50" s="1870"/>
      <c r="F50" s="1870"/>
      <c r="G50" s="1870"/>
      <c r="H50" s="1870"/>
      <c r="I50" s="1925"/>
      <c r="J50" s="1910"/>
      <c r="K50" s="1909"/>
      <c r="L50" s="2018"/>
      <c r="M50" s="1930"/>
      <c r="N50" s="1942"/>
      <c r="O50" s="1919"/>
      <c r="P50" s="1892"/>
      <c r="Q50" s="1892"/>
      <c r="R50" s="1892"/>
      <c r="S50" s="1892"/>
      <c r="T50" s="1892"/>
      <c r="U50" s="1892"/>
      <c r="V50" s="1892"/>
      <c r="W50" s="1892"/>
      <c r="X50" s="1892"/>
      <c r="Y50" s="1892"/>
      <c r="Z50" s="2020" t="s">
        <v>163</v>
      </c>
      <c r="AA50" s="1886">
        <f>P44</f>
        <v>757774</v>
      </c>
    </row>
    <row r="51" spans="1:27" ht="6.75" customHeight="1">
      <c r="A51" s="1900"/>
      <c r="B51" s="1926"/>
      <c r="C51" s="1927"/>
      <c r="D51" s="1927"/>
      <c r="E51" s="1927"/>
      <c r="F51" s="1927"/>
      <c r="G51" s="1927"/>
      <c r="H51" s="1927"/>
      <c r="I51" s="1928"/>
      <c r="J51" s="1910"/>
      <c r="K51" s="1909"/>
      <c r="L51" s="2019"/>
      <c r="M51" s="1939"/>
      <c r="N51" s="1950"/>
      <c r="O51" s="1919"/>
      <c r="P51" s="1955"/>
      <c r="Q51" s="1955"/>
      <c r="R51" s="1892"/>
      <c r="S51" s="1892"/>
      <c r="T51" s="1892"/>
      <c r="U51" s="1892"/>
      <c r="V51" s="1892"/>
      <c r="W51" s="1892"/>
      <c r="X51" s="1892"/>
      <c r="Y51" s="1892"/>
      <c r="Z51" s="2020"/>
      <c r="AA51" s="1886"/>
    </row>
    <row r="52" spans="1:27">
      <c r="A52" s="1900"/>
      <c r="B52" s="1926"/>
      <c r="C52" s="1927"/>
      <c r="D52" s="1927"/>
      <c r="E52" s="1927"/>
      <c r="F52" s="1927"/>
      <c r="G52" s="1927"/>
      <c r="H52" s="1927"/>
      <c r="I52" s="1928"/>
      <c r="J52" s="1909"/>
      <c r="K52" s="1909"/>
      <c r="L52" s="2021">
        <v>3664331.36</v>
      </c>
      <c r="M52" s="1939" t="s">
        <v>152</v>
      </c>
      <c r="N52" s="1942">
        <f>SUM(P52:Y55)</f>
        <v>740353</v>
      </c>
      <c r="O52" s="1919" t="s">
        <v>117</v>
      </c>
      <c r="P52" s="1955">
        <v>740353</v>
      </c>
      <c r="Q52" s="1955">
        <v>0</v>
      </c>
      <c r="R52" s="1892">
        <v>0</v>
      </c>
      <c r="S52" s="1892">
        <v>0</v>
      </c>
      <c r="T52" s="1892">
        <v>0</v>
      </c>
      <c r="U52" s="1892">
        <v>0</v>
      </c>
      <c r="V52" s="1892">
        <v>0</v>
      </c>
      <c r="W52" s="1892">
        <v>0</v>
      </c>
      <c r="X52" s="1892">
        <v>0</v>
      </c>
      <c r="Y52" s="1892">
        <v>0</v>
      </c>
      <c r="Z52" s="2020"/>
      <c r="AA52" s="2006">
        <f>Q44</f>
        <v>0</v>
      </c>
    </row>
    <row r="53" spans="1:27">
      <c r="A53" s="1900"/>
      <c r="B53" s="1926"/>
      <c r="C53" s="1927"/>
      <c r="D53" s="1927"/>
      <c r="E53" s="1927"/>
      <c r="F53" s="1927"/>
      <c r="G53" s="1927"/>
      <c r="H53" s="1927"/>
      <c r="I53" s="1928"/>
      <c r="J53" s="1909"/>
      <c r="K53" s="1909"/>
      <c r="L53" s="1943"/>
      <c r="M53" s="1940"/>
      <c r="N53" s="1942"/>
      <c r="O53" s="1919"/>
      <c r="P53" s="1956"/>
      <c r="Q53" s="1956"/>
      <c r="R53" s="1892"/>
      <c r="S53" s="1892"/>
      <c r="T53" s="1892"/>
      <c r="U53" s="1892"/>
      <c r="V53" s="1892"/>
      <c r="W53" s="1892"/>
      <c r="X53" s="1892"/>
      <c r="Y53" s="1892"/>
      <c r="Z53" s="2020"/>
      <c r="AA53" s="2006"/>
    </row>
    <row r="54" spans="1:27" ht="7.5" customHeight="1">
      <c r="A54" s="1900"/>
      <c r="B54" s="1926"/>
      <c r="C54" s="1927"/>
      <c r="D54" s="1927"/>
      <c r="E54" s="1927"/>
      <c r="F54" s="1927"/>
      <c r="G54" s="1927"/>
      <c r="H54" s="1927"/>
      <c r="I54" s="1928"/>
      <c r="J54" s="1909"/>
      <c r="K54" s="1909"/>
      <c r="L54" s="1943"/>
      <c r="M54" s="1940"/>
      <c r="N54" s="1942"/>
      <c r="O54" s="1919"/>
      <c r="P54" s="1956"/>
      <c r="Q54" s="1956"/>
      <c r="R54" s="1892"/>
      <c r="S54" s="1892"/>
      <c r="T54" s="1892"/>
      <c r="U54" s="1892"/>
      <c r="V54" s="1892"/>
      <c r="W54" s="1892"/>
      <c r="X54" s="1892"/>
      <c r="Y54" s="1892"/>
      <c r="Z54" s="2020"/>
      <c r="AA54" s="2006">
        <f>R44</f>
        <v>0</v>
      </c>
    </row>
    <row r="55" spans="1:27" ht="6.75" customHeight="1">
      <c r="A55" s="1900"/>
      <c r="B55" s="1873"/>
      <c r="C55" s="1874"/>
      <c r="D55" s="1874"/>
      <c r="E55" s="1874"/>
      <c r="F55" s="1874"/>
      <c r="G55" s="1874"/>
      <c r="H55" s="1874"/>
      <c r="I55" s="1929"/>
      <c r="J55" s="1909"/>
      <c r="K55" s="1909"/>
      <c r="L55" s="1943"/>
      <c r="M55" s="2023"/>
      <c r="N55" s="1950"/>
      <c r="O55" s="1919"/>
      <c r="P55" s="2015"/>
      <c r="Q55" s="2015"/>
      <c r="R55" s="1892"/>
      <c r="S55" s="1892"/>
      <c r="T55" s="1892"/>
      <c r="U55" s="1892"/>
      <c r="V55" s="1892"/>
      <c r="W55" s="1892"/>
      <c r="X55" s="1892"/>
      <c r="Y55" s="1892"/>
      <c r="Z55" s="2020"/>
      <c r="AA55" s="2006"/>
    </row>
    <row r="56" spans="1:27">
      <c r="A56" s="1900"/>
      <c r="B56" s="1933" t="s">
        <v>164</v>
      </c>
      <c r="C56" s="1934"/>
      <c r="D56" s="1934"/>
      <c r="E56" s="1934"/>
      <c r="F56" s="1934"/>
      <c r="G56" s="1934"/>
      <c r="H56" s="1934"/>
      <c r="I56" s="1935"/>
      <c r="J56" s="1909"/>
      <c r="K56" s="1909"/>
      <c r="L56" s="1943"/>
      <c r="M56" s="1939" t="s">
        <v>405</v>
      </c>
      <c r="N56" s="1942">
        <f>SUM(P56:Y59)</f>
        <v>17421</v>
      </c>
      <c r="O56" s="1919" t="s">
        <v>117</v>
      </c>
      <c r="P56" s="1955">
        <v>17421</v>
      </c>
      <c r="Q56" s="1955">
        <v>0</v>
      </c>
      <c r="R56" s="1955">
        <v>0</v>
      </c>
      <c r="S56" s="1955">
        <v>0</v>
      </c>
      <c r="T56" s="1955">
        <v>0</v>
      </c>
      <c r="U56" s="1955">
        <v>0</v>
      </c>
      <c r="V56" s="1955">
        <v>0</v>
      </c>
      <c r="W56" s="1955">
        <v>0</v>
      </c>
      <c r="X56" s="1955">
        <v>0</v>
      </c>
      <c r="Y56" s="1955">
        <v>0</v>
      </c>
      <c r="Z56" s="2020"/>
      <c r="AA56" s="1886"/>
    </row>
    <row r="57" spans="1:27">
      <c r="A57" s="1900"/>
      <c r="B57" s="1933"/>
      <c r="C57" s="1934"/>
      <c r="D57" s="1934"/>
      <c r="E57" s="1934"/>
      <c r="F57" s="1934"/>
      <c r="G57" s="1934"/>
      <c r="H57" s="1934"/>
      <c r="I57" s="1935"/>
      <c r="J57" s="1909"/>
      <c r="K57" s="1909"/>
      <c r="L57" s="1943"/>
      <c r="M57" s="1940"/>
      <c r="N57" s="1942"/>
      <c r="O57" s="1919"/>
      <c r="P57" s="1956"/>
      <c r="Q57" s="1956"/>
      <c r="R57" s="1956"/>
      <c r="S57" s="1956"/>
      <c r="T57" s="1956"/>
      <c r="U57" s="1956"/>
      <c r="V57" s="1956"/>
      <c r="W57" s="1956"/>
      <c r="X57" s="1956"/>
      <c r="Y57" s="1956"/>
      <c r="Z57" s="2020"/>
      <c r="AA57" s="1886"/>
    </row>
    <row r="58" spans="1:27" ht="7.5" customHeight="1">
      <c r="A58" s="1900"/>
      <c r="B58" s="1933"/>
      <c r="C58" s="1934"/>
      <c r="D58" s="1934"/>
      <c r="E58" s="1934"/>
      <c r="F58" s="1934"/>
      <c r="G58" s="1934"/>
      <c r="H58" s="1934"/>
      <c r="I58" s="1935"/>
      <c r="J58" s="1909"/>
      <c r="K58" s="1909"/>
      <c r="L58" s="1943"/>
      <c r="M58" s="1940"/>
      <c r="N58" s="1942"/>
      <c r="O58" s="1919"/>
      <c r="P58" s="1956"/>
      <c r="Q58" s="1956"/>
      <c r="R58" s="1956"/>
      <c r="S58" s="1956"/>
      <c r="T58" s="1956"/>
      <c r="U58" s="1956"/>
      <c r="V58" s="1956"/>
      <c r="W58" s="1956"/>
      <c r="X58" s="1956"/>
      <c r="Y58" s="1956"/>
      <c r="Z58" s="2020"/>
      <c r="AA58" s="1886"/>
    </row>
    <row r="59" spans="1:27" ht="16.5" customHeight="1" thickBot="1">
      <c r="A59" s="1901"/>
      <c r="B59" s="1936"/>
      <c r="C59" s="1937"/>
      <c r="D59" s="1937"/>
      <c r="E59" s="1937"/>
      <c r="F59" s="1937"/>
      <c r="G59" s="1937"/>
      <c r="H59" s="1937"/>
      <c r="I59" s="1938"/>
      <c r="J59" s="1911"/>
      <c r="K59" s="1911"/>
      <c r="L59" s="2022"/>
      <c r="M59" s="1941"/>
      <c r="N59" s="2025"/>
      <c r="O59" s="1920"/>
      <c r="P59" s="1957"/>
      <c r="Q59" s="1957"/>
      <c r="R59" s="1957"/>
      <c r="S59" s="1957"/>
      <c r="T59" s="1957"/>
      <c r="U59" s="1957"/>
      <c r="V59" s="1957"/>
      <c r="W59" s="1957"/>
      <c r="X59" s="1957"/>
      <c r="Y59" s="1957"/>
      <c r="Z59" s="2024"/>
      <c r="AA59" s="1947"/>
    </row>
    <row r="60" spans="1:27" ht="12.75" customHeight="1" thickTop="1" thickBot="1">
      <c r="A60" s="637"/>
      <c r="B60" s="643"/>
      <c r="C60" s="643"/>
      <c r="D60" s="643"/>
      <c r="E60" s="643"/>
      <c r="F60" s="643"/>
      <c r="G60" s="643"/>
      <c r="H60" s="643"/>
      <c r="I60" s="643"/>
      <c r="J60" s="641"/>
      <c r="K60" s="641"/>
      <c r="L60" s="664"/>
      <c r="M60" s="838"/>
      <c r="N60" s="640"/>
      <c r="O60" s="641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45"/>
      <c r="AA60" s="644"/>
    </row>
    <row r="61" spans="1:27" ht="13.5" thickTop="1">
      <c r="A61" s="1898">
        <v>2</v>
      </c>
      <c r="B61" s="1902" t="s">
        <v>106</v>
      </c>
      <c r="C61" s="1903"/>
      <c r="D61" s="1903">
        <v>851</v>
      </c>
      <c r="E61" s="1903"/>
      <c r="F61" s="1906" t="s">
        <v>424</v>
      </c>
      <c r="G61" s="1906"/>
      <c r="H61" s="1906"/>
      <c r="I61" s="1906"/>
      <c r="J61" s="1908">
        <v>2012</v>
      </c>
      <c r="K61" s="1908">
        <v>2015</v>
      </c>
      <c r="L61" s="1912">
        <v>2126059.7000000002</v>
      </c>
      <c r="M61" s="1914" t="s">
        <v>125</v>
      </c>
      <c r="N61" s="1916">
        <f>SUM(N65:N72)</f>
        <v>1715725</v>
      </c>
      <c r="O61" s="1918" t="s">
        <v>117</v>
      </c>
      <c r="P61" s="1890">
        <f>SUM(P65:P72)</f>
        <v>737691</v>
      </c>
      <c r="Q61" s="1890">
        <f>SUM(Q65:Q72)</f>
        <v>774321</v>
      </c>
      <c r="R61" s="1890">
        <f>SUM(R65:R72)</f>
        <v>203713</v>
      </c>
      <c r="S61" s="1890">
        <f t="shared" ref="S61:Y61" si="3">SUM(S65:S72)</f>
        <v>0</v>
      </c>
      <c r="T61" s="1890">
        <f t="shared" si="3"/>
        <v>0</v>
      </c>
      <c r="U61" s="1890">
        <f t="shared" si="3"/>
        <v>0</v>
      </c>
      <c r="V61" s="1890">
        <f t="shared" si="3"/>
        <v>0</v>
      </c>
      <c r="W61" s="1890">
        <f t="shared" si="3"/>
        <v>0</v>
      </c>
      <c r="X61" s="1890">
        <f t="shared" si="3"/>
        <v>0</v>
      </c>
      <c r="Y61" s="1890">
        <f t="shared" si="3"/>
        <v>0</v>
      </c>
      <c r="Z61" s="1877">
        <f>SUM(AA65:AA72)</f>
        <v>1715725</v>
      </c>
      <c r="AA61" s="1878"/>
    </row>
    <row r="62" spans="1:27" ht="17.25" customHeight="1">
      <c r="A62" s="1899"/>
      <c r="B62" s="1904"/>
      <c r="C62" s="1905"/>
      <c r="D62" s="1905"/>
      <c r="E62" s="1905"/>
      <c r="F62" s="1907"/>
      <c r="G62" s="1907"/>
      <c r="H62" s="1907"/>
      <c r="I62" s="1907"/>
      <c r="J62" s="1909"/>
      <c r="K62" s="1909"/>
      <c r="L62" s="1913"/>
      <c r="M62" s="1915"/>
      <c r="N62" s="1917"/>
      <c r="O62" s="1919"/>
      <c r="P62" s="1891"/>
      <c r="Q62" s="1891"/>
      <c r="R62" s="1891"/>
      <c r="S62" s="1891"/>
      <c r="T62" s="1891"/>
      <c r="U62" s="1891"/>
      <c r="V62" s="1891"/>
      <c r="W62" s="1891"/>
      <c r="X62" s="1891"/>
      <c r="Y62" s="1891"/>
      <c r="Z62" s="1879"/>
      <c r="AA62" s="1880"/>
    </row>
    <row r="63" spans="1:27">
      <c r="A63" s="1899"/>
      <c r="B63" s="1921" t="s">
        <v>112</v>
      </c>
      <c r="C63" s="1919"/>
      <c r="D63" s="1919">
        <v>85111</v>
      </c>
      <c r="E63" s="1919"/>
      <c r="F63" s="1907" t="s">
        <v>425</v>
      </c>
      <c r="G63" s="1907"/>
      <c r="H63" s="1907"/>
      <c r="I63" s="1907"/>
      <c r="J63" s="1909"/>
      <c r="K63" s="1909"/>
      <c r="L63" s="1913"/>
      <c r="M63" s="1915"/>
      <c r="N63" s="1917"/>
      <c r="O63" s="1919"/>
      <c r="P63" s="1891"/>
      <c r="Q63" s="1891"/>
      <c r="R63" s="1891"/>
      <c r="S63" s="1891"/>
      <c r="T63" s="1891"/>
      <c r="U63" s="1891"/>
      <c r="V63" s="1891"/>
      <c r="W63" s="1891"/>
      <c r="X63" s="1891"/>
      <c r="Y63" s="1891"/>
      <c r="Z63" s="1879"/>
      <c r="AA63" s="1880"/>
    </row>
    <row r="64" spans="1:27">
      <c r="A64" s="1899"/>
      <c r="B64" s="1922"/>
      <c r="C64" s="1923"/>
      <c r="D64" s="1923"/>
      <c r="E64" s="1923"/>
      <c r="F64" s="1924"/>
      <c r="G64" s="1924"/>
      <c r="H64" s="1924"/>
      <c r="I64" s="1924"/>
      <c r="J64" s="1909"/>
      <c r="K64" s="1909"/>
      <c r="L64" s="1913"/>
      <c r="M64" s="1915"/>
      <c r="N64" s="1917"/>
      <c r="O64" s="1919"/>
      <c r="P64" s="1891"/>
      <c r="Q64" s="1891"/>
      <c r="R64" s="1891"/>
      <c r="S64" s="1891"/>
      <c r="T64" s="1891"/>
      <c r="U64" s="1891"/>
      <c r="V64" s="1891"/>
      <c r="W64" s="1891"/>
      <c r="X64" s="1891"/>
      <c r="Y64" s="1891"/>
      <c r="Z64" s="1894"/>
      <c r="AA64" s="1895"/>
    </row>
    <row r="65" spans="1:27">
      <c r="A65" s="1900"/>
      <c r="B65" s="1869" t="s">
        <v>434</v>
      </c>
      <c r="C65" s="1870"/>
      <c r="D65" s="1870"/>
      <c r="E65" s="1870"/>
      <c r="F65" s="1870"/>
      <c r="G65" s="1870"/>
      <c r="H65" s="1870"/>
      <c r="I65" s="1925"/>
      <c r="J65" s="1910"/>
      <c r="K65" s="1909"/>
      <c r="L65" s="1913"/>
      <c r="M65" s="1930" t="s">
        <v>152</v>
      </c>
      <c r="N65" s="1942">
        <f>SUM(P65:Y68)</f>
        <v>0</v>
      </c>
      <c r="O65" s="1919" t="s">
        <v>117</v>
      </c>
      <c r="P65" s="1892">
        <v>0</v>
      </c>
      <c r="Q65" s="1892">
        <v>0</v>
      </c>
      <c r="R65" s="1955">
        <v>0</v>
      </c>
      <c r="S65" s="1955">
        <v>0</v>
      </c>
      <c r="T65" s="1955">
        <v>0</v>
      </c>
      <c r="U65" s="1955">
        <v>0</v>
      </c>
      <c r="V65" s="1955">
        <v>0</v>
      </c>
      <c r="W65" s="1955">
        <v>0</v>
      </c>
      <c r="X65" s="1955">
        <v>0</v>
      </c>
      <c r="Y65" s="1955">
        <v>0</v>
      </c>
      <c r="Z65" s="2016"/>
      <c r="AA65" s="1897"/>
    </row>
    <row r="66" spans="1:27">
      <c r="A66" s="1900"/>
      <c r="B66" s="1926"/>
      <c r="C66" s="1927"/>
      <c r="D66" s="1927"/>
      <c r="E66" s="1927"/>
      <c r="F66" s="1927"/>
      <c r="G66" s="1927"/>
      <c r="H66" s="1927"/>
      <c r="I66" s="1928"/>
      <c r="J66" s="1910"/>
      <c r="K66" s="1909"/>
      <c r="L66" s="1913"/>
      <c r="M66" s="1930"/>
      <c r="N66" s="1919"/>
      <c r="O66" s="1919"/>
      <c r="P66" s="1892"/>
      <c r="Q66" s="1892"/>
      <c r="R66" s="1956"/>
      <c r="S66" s="1956"/>
      <c r="T66" s="1956"/>
      <c r="U66" s="1956"/>
      <c r="V66" s="1956"/>
      <c r="W66" s="1956"/>
      <c r="X66" s="1956"/>
      <c r="Y66" s="1956"/>
      <c r="Z66" s="2008"/>
      <c r="AA66" s="1886"/>
    </row>
    <row r="67" spans="1:27">
      <c r="A67" s="1900"/>
      <c r="B67" s="1926"/>
      <c r="C67" s="1927"/>
      <c r="D67" s="1927"/>
      <c r="E67" s="1927"/>
      <c r="F67" s="1927"/>
      <c r="G67" s="1927"/>
      <c r="H67" s="1927"/>
      <c r="I67" s="1928"/>
      <c r="J67" s="1910"/>
      <c r="K67" s="1909"/>
      <c r="L67" s="1931">
        <v>410334.7</v>
      </c>
      <c r="M67" s="1930"/>
      <c r="N67" s="1919"/>
      <c r="O67" s="1919"/>
      <c r="P67" s="1892"/>
      <c r="Q67" s="1892"/>
      <c r="R67" s="1956"/>
      <c r="S67" s="1956"/>
      <c r="T67" s="1956"/>
      <c r="U67" s="1956"/>
      <c r="V67" s="1956"/>
      <c r="W67" s="1956"/>
      <c r="X67" s="1956"/>
      <c r="Y67" s="1956"/>
      <c r="Z67" s="2008" t="s">
        <v>163</v>
      </c>
      <c r="AA67" s="1886">
        <f>P61</f>
        <v>737691</v>
      </c>
    </row>
    <row r="68" spans="1:27" ht="5.25" customHeight="1">
      <c r="A68" s="1900"/>
      <c r="B68" s="1873"/>
      <c r="C68" s="1874"/>
      <c r="D68" s="1874"/>
      <c r="E68" s="1874"/>
      <c r="F68" s="1874"/>
      <c r="G68" s="1874"/>
      <c r="H68" s="1874"/>
      <c r="I68" s="1929"/>
      <c r="J68" s="1910"/>
      <c r="K68" s="1909"/>
      <c r="L68" s="1931"/>
      <c r="M68" s="1930"/>
      <c r="N68" s="1919"/>
      <c r="O68" s="1919"/>
      <c r="P68" s="1892"/>
      <c r="Q68" s="1892"/>
      <c r="R68" s="2015"/>
      <c r="S68" s="2015"/>
      <c r="T68" s="2015"/>
      <c r="U68" s="2015"/>
      <c r="V68" s="2015"/>
      <c r="W68" s="2015"/>
      <c r="X68" s="2015"/>
      <c r="Y68" s="2015"/>
      <c r="Z68" s="2008"/>
      <c r="AA68" s="1886"/>
    </row>
    <row r="69" spans="1:27">
      <c r="A69" s="1900"/>
      <c r="B69" s="1933" t="s">
        <v>426</v>
      </c>
      <c r="C69" s="1934"/>
      <c r="D69" s="1934"/>
      <c r="E69" s="1934"/>
      <c r="F69" s="1934"/>
      <c r="G69" s="1934"/>
      <c r="H69" s="1934"/>
      <c r="I69" s="1935"/>
      <c r="J69" s="1909"/>
      <c r="K69" s="1909"/>
      <c r="L69" s="1931"/>
      <c r="M69" s="1939" t="s">
        <v>129</v>
      </c>
      <c r="N69" s="1942">
        <f>SUM(P69:Y72)</f>
        <v>1715725</v>
      </c>
      <c r="O69" s="1919" t="s">
        <v>117</v>
      </c>
      <c r="P69" s="1892">
        <v>737691</v>
      </c>
      <c r="Q69" s="1892">
        <v>774321</v>
      </c>
      <c r="R69" s="1892">
        <v>203713</v>
      </c>
      <c r="S69" s="1892">
        <v>0</v>
      </c>
      <c r="T69" s="1892">
        <v>0</v>
      </c>
      <c r="U69" s="1892">
        <v>0</v>
      </c>
      <c r="V69" s="1892">
        <v>0</v>
      </c>
      <c r="W69" s="1892">
        <v>0</v>
      </c>
      <c r="X69" s="1892">
        <v>0</v>
      </c>
      <c r="Y69" s="1892">
        <v>0</v>
      </c>
      <c r="Z69" s="2008" t="s">
        <v>372</v>
      </c>
      <c r="AA69" s="2006">
        <f>Q61</f>
        <v>774321</v>
      </c>
    </row>
    <row r="70" spans="1:27">
      <c r="A70" s="1900"/>
      <c r="B70" s="1933"/>
      <c r="C70" s="1934"/>
      <c r="D70" s="1934"/>
      <c r="E70" s="1934"/>
      <c r="F70" s="1934"/>
      <c r="G70" s="1934"/>
      <c r="H70" s="1934"/>
      <c r="I70" s="1935"/>
      <c r="J70" s="1909"/>
      <c r="K70" s="1909"/>
      <c r="L70" s="1931"/>
      <c r="M70" s="1940"/>
      <c r="N70" s="1919"/>
      <c r="O70" s="1919"/>
      <c r="P70" s="1892"/>
      <c r="Q70" s="1892"/>
      <c r="R70" s="1892"/>
      <c r="S70" s="1892"/>
      <c r="T70" s="1892"/>
      <c r="U70" s="1892"/>
      <c r="V70" s="1892"/>
      <c r="W70" s="1892"/>
      <c r="X70" s="1892"/>
      <c r="Y70" s="1892"/>
      <c r="Z70" s="2008"/>
      <c r="AA70" s="2006"/>
    </row>
    <row r="71" spans="1:27">
      <c r="A71" s="1900"/>
      <c r="B71" s="1933"/>
      <c r="C71" s="1934"/>
      <c r="D71" s="1934"/>
      <c r="E71" s="1934"/>
      <c r="F71" s="1934"/>
      <c r="G71" s="1934"/>
      <c r="H71" s="1934"/>
      <c r="I71" s="1935"/>
      <c r="J71" s="1909"/>
      <c r="K71" s="1909"/>
      <c r="L71" s="1931"/>
      <c r="M71" s="1940"/>
      <c r="N71" s="1919"/>
      <c r="O71" s="1919"/>
      <c r="P71" s="1892"/>
      <c r="Q71" s="1892"/>
      <c r="R71" s="1892"/>
      <c r="S71" s="1892"/>
      <c r="T71" s="1892"/>
      <c r="U71" s="1892"/>
      <c r="V71" s="1892"/>
      <c r="W71" s="1892"/>
      <c r="X71" s="1892"/>
      <c r="Y71" s="1892"/>
      <c r="Z71" s="2004" t="s">
        <v>373</v>
      </c>
      <c r="AA71" s="2006">
        <f>R61</f>
        <v>203713</v>
      </c>
    </row>
    <row r="72" spans="1:27" ht="9" customHeight="1" thickBot="1">
      <c r="A72" s="1901"/>
      <c r="B72" s="1936"/>
      <c r="C72" s="1937"/>
      <c r="D72" s="1937"/>
      <c r="E72" s="1937"/>
      <c r="F72" s="1937"/>
      <c r="G72" s="1937"/>
      <c r="H72" s="1937"/>
      <c r="I72" s="1938"/>
      <c r="J72" s="1911"/>
      <c r="K72" s="1911"/>
      <c r="L72" s="1932"/>
      <c r="M72" s="1941"/>
      <c r="N72" s="1920"/>
      <c r="O72" s="1920"/>
      <c r="P72" s="1893"/>
      <c r="Q72" s="1893"/>
      <c r="R72" s="1893"/>
      <c r="S72" s="1893"/>
      <c r="T72" s="1893"/>
      <c r="U72" s="1893"/>
      <c r="V72" s="1893"/>
      <c r="W72" s="1893"/>
      <c r="X72" s="1893"/>
      <c r="Y72" s="1893"/>
      <c r="Z72" s="2005"/>
      <c r="AA72" s="2007"/>
    </row>
    <row r="73" spans="1:27" ht="12" customHeight="1" thickTop="1" thickBot="1">
      <c r="A73" s="637"/>
      <c r="B73" s="643"/>
      <c r="C73" s="643"/>
      <c r="D73" s="643"/>
      <c r="E73" s="643"/>
      <c r="F73" s="643"/>
      <c r="G73" s="643"/>
      <c r="H73" s="643"/>
      <c r="I73" s="643"/>
      <c r="J73" s="641"/>
      <c r="K73" s="641"/>
      <c r="L73" s="664"/>
      <c r="M73" s="838"/>
      <c r="N73" s="640"/>
      <c r="O73" s="641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45"/>
      <c r="AA73" s="644"/>
    </row>
    <row r="74" spans="1:27" s="666" customFormat="1" ht="13.5" thickTop="1">
      <c r="A74" s="1898">
        <v>3</v>
      </c>
      <c r="B74" s="1902" t="s">
        <v>106</v>
      </c>
      <c r="C74" s="1903"/>
      <c r="D74" s="1903">
        <v>801</v>
      </c>
      <c r="E74" s="1903"/>
      <c r="F74" s="1906" t="s">
        <v>150</v>
      </c>
      <c r="G74" s="1906"/>
      <c r="H74" s="1906"/>
      <c r="I74" s="1906"/>
      <c r="J74" s="1908">
        <v>2011</v>
      </c>
      <c r="K74" s="1908">
        <v>2013</v>
      </c>
      <c r="L74" s="1912">
        <v>594085</v>
      </c>
      <c r="M74" s="1914" t="s">
        <v>125</v>
      </c>
      <c r="N74" s="1916">
        <f>SUM(N78:N85)</f>
        <v>83251</v>
      </c>
      <c r="O74" s="1918" t="s">
        <v>117</v>
      </c>
      <c r="P74" s="1890">
        <f>SUM(P78:P85)</f>
        <v>83251</v>
      </c>
      <c r="Q74" s="1890">
        <f>SUM(Q78:Q85)</f>
        <v>0</v>
      </c>
      <c r="R74" s="1890">
        <f>SUM(R78:R85)</f>
        <v>0</v>
      </c>
      <c r="S74" s="1890">
        <f t="shared" ref="S74:Y74" si="4">SUM(S78:S85)</f>
        <v>0</v>
      </c>
      <c r="T74" s="1890">
        <f t="shared" si="4"/>
        <v>0</v>
      </c>
      <c r="U74" s="1890">
        <f t="shared" si="4"/>
        <v>0</v>
      </c>
      <c r="V74" s="1890">
        <f t="shared" si="4"/>
        <v>0</v>
      </c>
      <c r="W74" s="1890">
        <f t="shared" si="4"/>
        <v>0</v>
      </c>
      <c r="X74" s="1890">
        <f t="shared" si="4"/>
        <v>0</v>
      </c>
      <c r="Y74" s="1890">
        <f t="shared" si="4"/>
        <v>0</v>
      </c>
      <c r="Z74" s="1877">
        <f>SUM(AA78:AA85)</f>
        <v>83251</v>
      </c>
      <c r="AA74" s="1878"/>
    </row>
    <row r="75" spans="1:27" s="666" customFormat="1">
      <c r="A75" s="1899"/>
      <c r="B75" s="1904"/>
      <c r="C75" s="1905"/>
      <c r="D75" s="1905"/>
      <c r="E75" s="1905"/>
      <c r="F75" s="1907"/>
      <c r="G75" s="1907"/>
      <c r="H75" s="1907"/>
      <c r="I75" s="1907"/>
      <c r="J75" s="1909"/>
      <c r="K75" s="1909"/>
      <c r="L75" s="1913"/>
      <c r="M75" s="1915"/>
      <c r="N75" s="1917"/>
      <c r="O75" s="1919"/>
      <c r="P75" s="1891"/>
      <c r="Q75" s="1891"/>
      <c r="R75" s="1891"/>
      <c r="S75" s="1891"/>
      <c r="T75" s="1891"/>
      <c r="U75" s="1891"/>
      <c r="V75" s="1891"/>
      <c r="W75" s="1891"/>
      <c r="X75" s="1891"/>
      <c r="Y75" s="1891"/>
      <c r="Z75" s="1879"/>
      <c r="AA75" s="1880"/>
    </row>
    <row r="76" spans="1:27" s="666" customFormat="1">
      <c r="A76" s="1899"/>
      <c r="B76" s="1921" t="s">
        <v>112</v>
      </c>
      <c r="C76" s="1919"/>
      <c r="D76" s="1919">
        <v>80195</v>
      </c>
      <c r="E76" s="1919"/>
      <c r="F76" s="1907" t="s">
        <v>139</v>
      </c>
      <c r="G76" s="1907"/>
      <c r="H76" s="1907"/>
      <c r="I76" s="1907"/>
      <c r="J76" s="1909"/>
      <c r="K76" s="1909"/>
      <c r="L76" s="1913"/>
      <c r="M76" s="1915"/>
      <c r="N76" s="1917"/>
      <c r="O76" s="1919"/>
      <c r="P76" s="1891"/>
      <c r="Q76" s="1891"/>
      <c r="R76" s="1891"/>
      <c r="S76" s="1891"/>
      <c r="T76" s="1891"/>
      <c r="U76" s="1891"/>
      <c r="V76" s="1891"/>
      <c r="W76" s="1891"/>
      <c r="X76" s="1891"/>
      <c r="Y76" s="1891"/>
      <c r="Z76" s="1879"/>
      <c r="AA76" s="1880"/>
    </row>
    <row r="77" spans="1:27" s="666" customFormat="1">
      <c r="A77" s="1899"/>
      <c r="B77" s="1922"/>
      <c r="C77" s="1923"/>
      <c r="D77" s="1923"/>
      <c r="E77" s="1923"/>
      <c r="F77" s="1924"/>
      <c r="G77" s="1924"/>
      <c r="H77" s="1924"/>
      <c r="I77" s="1924"/>
      <c r="J77" s="1909"/>
      <c r="K77" s="1909"/>
      <c r="L77" s="1913"/>
      <c r="M77" s="1915"/>
      <c r="N77" s="1917"/>
      <c r="O77" s="1919"/>
      <c r="P77" s="1891"/>
      <c r="Q77" s="1891"/>
      <c r="R77" s="1891"/>
      <c r="S77" s="1891"/>
      <c r="T77" s="1891"/>
      <c r="U77" s="1891"/>
      <c r="V77" s="1891"/>
      <c r="W77" s="1891"/>
      <c r="X77" s="1891"/>
      <c r="Y77" s="1891"/>
      <c r="Z77" s="1894"/>
      <c r="AA77" s="1895"/>
    </row>
    <row r="78" spans="1:27" s="666" customFormat="1">
      <c r="A78" s="1900"/>
      <c r="B78" s="1869" t="s">
        <v>169</v>
      </c>
      <c r="C78" s="1870"/>
      <c r="D78" s="1870"/>
      <c r="E78" s="1870"/>
      <c r="F78" s="1870"/>
      <c r="G78" s="1870"/>
      <c r="H78" s="1870"/>
      <c r="I78" s="1925"/>
      <c r="J78" s="1910"/>
      <c r="K78" s="1909"/>
      <c r="L78" s="1913"/>
      <c r="M78" s="1930" t="s">
        <v>152</v>
      </c>
      <c r="N78" s="1942">
        <f>SUM(P78:Y81)</f>
        <v>70763</v>
      </c>
      <c r="O78" s="1919" t="s">
        <v>117</v>
      </c>
      <c r="P78" s="1955">
        <v>70763</v>
      </c>
      <c r="Q78" s="1892">
        <v>0</v>
      </c>
      <c r="R78" s="1892">
        <v>0</v>
      </c>
      <c r="S78" s="1892">
        <v>0</v>
      </c>
      <c r="T78" s="1892">
        <v>0</v>
      </c>
      <c r="U78" s="1892">
        <v>0</v>
      </c>
      <c r="V78" s="1892">
        <v>0</v>
      </c>
      <c r="W78" s="1892">
        <v>0</v>
      </c>
      <c r="X78" s="1892">
        <v>0</v>
      </c>
      <c r="Y78" s="1892">
        <v>0</v>
      </c>
      <c r="Z78" s="2016"/>
      <c r="AA78" s="1897"/>
    </row>
    <row r="79" spans="1:27" s="666" customFormat="1">
      <c r="A79" s="1900"/>
      <c r="B79" s="1926"/>
      <c r="C79" s="1927"/>
      <c r="D79" s="1927"/>
      <c r="E79" s="1927"/>
      <c r="F79" s="1927"/>
      <c r="G79" s="1927"/>
      <c r="H79" s="1927"/>
      <c r="I79" s="1928"/>
      <c r="J79" s="1910"/>
      <c r="K79" s="1909"/>
      <c r="L79" s="1913"/>
      <c r="M79" s="1930"/>
      <c r="N79" s="1919"/>
      <c r="O79" s="1919"/>
      <c r="P79" s="1956"/>
      <c r="Q79" s="1892"/>
      <c r="R79" s="1892"/>
      <c r="S79" s="1892"/>
      <c r="T79" s="1892"/>
      <c r="U79" s="1892"/>
      <c r="V79" s="1892"/>
      <c r="W79" s="1892"/>
      <c r="X79" s="1892"/>
      <c r="Y79" s="1892"/>
      <c r="Z79" s="2008"/>
      <c r="AA79" s="1886"/>
    </row>
    <row r="80" spans="1:27" s="666" customFormat="1">
      <c r="A80" s="1900"/>
      <c r="B80" s="1926"/>
      <c r="C80" s="1927"/>
      <c r="D80" s="1927"/>
      <c r="E80" s="1927"/>
      <c r="F80" s="1927"/>
      <c r="G80" s="1927"/>
      <c r="H80" s="1927"/>
      <c r="I80" s="1928"/>
      <c r="J80" s="1910"/>
      <c r="K80" s="1909"/>
      <c r="L80" s="1931">
        <v>510834</v>
      </c>
      <c r="M80" s="1930"/>
      <c r="N80" s="1919"/>
      <c r="O80" s="1919"/>
      <c r="P80" s="1956"/>
      <c r="Q80" s="1892"/>
      <c r="R80" s="1892"/>
      <c r="S80" s="1892"/>
      <c r="T80" s="1892"/>
      <c r="U80" s="1892"/>
      <c r="V80" s="1892"/>
      <c r="W80" s="1892"/>
      <c r="X80" s="1892"/>
      <c r="Y80" s="1892"/>
      <c r="Z80" s="2008" t="s">
        <v>163</v>
      </c>
      <c r="AA80" s="1886">
        <f>P74</f>
        <v>83251</v>
      </c>
    </row>
    <row r="81" spans="1:27" s="666" customFormat="1" ht="7.5" customHeight="1">
      <c r="A81" s="1900"/>
      <c r="B81" s="1873"/>
      <c r="C81" s="1874"/>
      <c r="D81" s="1874"/>
      <c r="E81" s="1874"/>
      <c r="F81" s="1874"/>
      <c r="G81" s="1874"/>
      <c r="H81" s="1874"/>
      <c r="I81" s="1929"/>
      <c r="J81" s="1910"/>
      <c r="K81" s="1909"/>
      <c r="L81" s="1931"/>
      <c r="M81" s="1930"/>
      <c r="N81" s="1919"/>
      <c r="O81" s="1919"/>
      <c r="P81" s="2015"/>
      <c r="Q81" s="1892"/>
      <c r="R81" s="1892"/>
      <c r="S81" s="1892"/>
      <c r="T81" s="1892"/>
      <c r="U81" s="1892"/>
      <c r="V81" s="1892"/>
      <c r="W81" s="1892"/>
      <c r="X81" s="1892"/>
      <c r="Y81" s="1892"/>
      <c r="Z81" s="2008"/>
      <c r="AA81" s="1886"/>
    </row>
    <row r="82" spans="1:27" s="666" customFormat="1">
      <c r="A82" s="1900"/>
      <c r="B82" s="1933" t="s">
        <v>170</v>
      </c>
      <c r="C82" s="1934"/>
      <c r="D82" s="1934"/>
      <c r="E82" s="1934"/>
      <c r="F82" s="1934"/>
      <c r="G82" s="1934"/>
      <c r="H82" s="1934"/>
      <c r="I82" s="1935"/>
      <c r="J82" s="1909"/>
      <c r="K82" s="1909"/>
      <c r="L82" s="1931"/>
      <c r="M82" s="1939" t="s">
        <v>399</v>
      </c>
      <c r="N82" s="1942">
        <f>SUM(P82:Y85)</f>
        <v>12488</v>
      </c>
      <c r="O82" s="1919" t="s">
        <v>117</v>
      </c>
      <c r="P82" s="1955">
        <v>12488</v>
      </c>
      <c r="Q82" s="1892">
        <v>0</v>
      </c>
      <c r="R82" s="1892">
        <v>0</v>
      </c>
      <c r="S82" s="1892">
        <v>0</v>
      </c>
      <c r="T82" s="1892">
        <v>0</v>
      </c>
      <c r="U82" s="1892">
        <v>0</v>
      </c>
      <c r="V82" s="1892">
        <v>0</v>
      </c>
      <c r="W82" s="1892">
        <v>0</v>
      </c>
      <c r="X82" s="1892">
        <v>0</v>
      </c>
      <c r="Y82" s="1892">
        <v>0</v>
      </c>
      <c r="Z82" s="2008"/>
      <c r="AA82" s="2006"/>
    </row>
    <row r="83" spans="1:27" s="666" customFormat="1">
      <c r="A83" s="1900"/>
      <c r="B83" s="1933"/>
      <c r="C83" s="1934"/>
      <c r="D83" s="1934"/>
      <c r="E83" s="1934"/>
      <c r="F83" s="1934"/>
      <c r="G83" s="1934"/>
      <c r="H83" s="1934"/>
      <c r="I83" s="1935"/>
      <c r="J83" s="1909"/>
      <c r="K83" s="1909"/>
      <c r="L83" s="1931"/>
      <c r="M83" s="1940"/>
      <c r="N83" s="1919"/>
      <c r="O83" s="1919"/>
      <c r="P83" s="1956"/>
      <c r="Q83" s="1892"/>
      <c r="R83" s="1892"/>
      <c r="S83" s="1892"/>
      <c r="T83" s="1892"/>
      <c r="U83" s="1892"/>
      <c r="V83" s="1892"/>
      <c r="W83" s="1892"/>
      <c r="X83" s="1892"/>
      <c r="Y83" s="1892"/>
      <c r="Z83" s="2008"/>
      <c r="AA83" s="2006"/>
    </row>
    <row r="84" spans="1:27" s="666" customFormat="1" ht="5.25" customHeight="1">
      <c r="A84" s="1900"/>
      <c r="B84" s="1933"/>
      <c r="C84" s="1934"/>
      <c r="D84" s="1934"/>
      <c r="E84" s="1934"/>
      <c r="F84" s="1934"/>
      <c r="G84" s="1934"/>
      <c r="H84" s="1934"/>
      <c r="I84" s="1935"/>
      <c r="J84" s="1909"/>
      <c r="K84" s="1909"/>
      <c r="L84" s="1931"/>
      <c r="M84" s="1940"/>
      <c r="N84" s="1919"/>
      <c r="O84" s="1919"/>
      <c r="P84" s="1956"/>
      <c r="Q84" s="1892"/>
      <c r="R84" s="1892"/>
      <c r="S84" s="1892"/>
      <c r="T84" s="1892"/>
      <c r="U84" s="1892"/>
      <c r="V84" s="1892"/>
      <c r="W84" s="1892"/>
      <c r="X84" s="1892"/>
      <c r="Y84" s="1892"/>
      <c r="Z84" s="2004"/>
      <c r="AA84" s="2006"/>
    </row>
    <row r="85" spans="1:27" s="666" customFormat="1" ht="13.5" customHeight="1" thickBot="1">
      <c r="A85" s="1901"/>
      <c r="B85" s="1936"/>
      <c r="C85" s="1937"/>
      <c r="D85" s="1937"/>
      <c r="E85" s="1937"/>
      <c r="F85" s="1937"/>
      <c r="G85" s="1937"/>
      <c r="H85" s="1937"/>
      <c r="I85" s="1938"/>
      <c r="J85" s="1911"/>
      <c r="K85" s="1911"/>
      <c r="L85" s="1932"/>
      <c r="M85" s="1941"/>
      <c r="N85" s="1920"/>
      <c r="O85" s="1920"/>
      <c r="P85" s="1957"/>
      <c r="Q85" s="1893"/>
      <c r="R85" s="1893"/>
      <c r="S85" s="1893"/>
      <c r="T85" s="1893"/>
      <c r="U85" s="1893"/>
      <c r="V85" s="1893"/>
      <c r="W85" s="1893"/>
      <c r="X85" s="1893"/>
      <c r="Y85" s="1893"/>
      <c r="Z85" s="2005"/>
      <c r="AA85" s="2007"/>
    </row>
    <row r="86" spans="1:27" ht="20.25" customHeight="1" thickTop="1" thickBot="1">
      <c r="A86" s="637"/>
      <c r="B86" s="643"/>
      <c r="C86" s="643"/>
      <c r="D86" s="643"/>
      <c r="E86" s="643"/>
      <c r="F86" s="643"/>
      <c r="G86" s="643"/>
      <c r="H86" s="643"/>
      <c r="I86" s="643"/>
      <c r="J86" s="641"/>
      <c r="K86" s="641"/>
      <c r="L86" s="664"/>
      <c r="M86" s="838"/>
      <c r="N86" s="641"/>
      <c r="O86" s="641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40"/>
      <c r="AA86" s="639"/>
    </row>
    <row r="87" spans="1:27" ht="13.5" thickTop="1">
      <c r="A87" s="1898">
        <v>4</v>
      </c>
      <c r="B87" s="1902" t="s">
        <v>106</v>
      </c>
      <c r="C87" s="1903"/>
      <c r="D87" s="1903">
        <v>801</v>
      </c>
      <c r="E87" s="1903"/>
      <c r="F87" s="1906" t="s">
        <v>150</v>
      </c>
      <c r="G87" s="1906"/>
      <c r="H87" s="1906"/>
      <c r="I87" s="1906"/>
      <c r="J87" s="1908">
        <v>2012</v>
      </c>
      <c r="K87" s="1908">
        <v>2013</v>
      </c>
      <c r="L87" s="1912">
        <v>621825</v>
      </c>
      <c r="M87" s="1914" t="s">
        <v>125</v>
      </c>
      <c r="N87" s="1916">
        <f>SUM(N91:N98)</f>
        <v>560665</v>
      </c>
      <c r="O87" s="1918" t="s">
        <v>117</v>
      </c>
      <c r="P87" s="1890">
        <f>SUM(P91:P98)</f>
        <v>342186</v>
      </c>
      <c r="Q87" s="1890">
        <f>SUM(Q91:Q98)</f>
        <v>218479</v>
      </c>
      <c r="R87" s="1890">
        <f>SUM(R91:R98)</f>
        <v>0</v>
      </c>
      <c r="S87" s="1890">
        <f t="shared" ref="S87:Y87" si="5">SUM(S91:S98)</f>
        <v>0</v>
      </c>
      <c r="T87" s="1890">
        <f t="shared" si="5"/>
        <v>0</v>
      </c>
      <c r="U87" s="1890">
        <f t="shared" si="5"/>
        <v>0</v>
      </c>
      <c r="V87" s="1890">
        <f t="shared" si="5"/>
        <v>0</v>
      </c>
      <c r="W87" s="1890">
        <f t="shared" si="5"/>
        <v>0</v>
      </c>
      <c r="X87" s="1890">
        <f t="shared" si="5"/>
        <v>0</v>
      </c>
      <c r="Y87" s="1890">
        <f t="shared" si="5"/>
        <v>0</v>
      </c>
      <c r="Z87" s="1877">
        <f>SUM(AA91:AA98)</f>
        <v>560665</v>
      </c>
      <c r="AA87" s="1878"/>
    </row>
    <row r="88" spans="1:27">
      <c r="A88" s="1899"/>
      <c r="B88" s="1904"/>
      <c r="C88" s="1905"/>
      <c r="D88" s="1905"/>
      <c r="E88" s="1905"/>
      <c r="F88" s="1907"/>
      <c r="G88" s="1907"/>
      <c r="H88" s="1907"/>
      <c r="I88" s="1907"/>
      <c r="J88" s="1909"/>
      <c r="K88" s="1909"/>
      <c r="L88" s="1913"/>
      <c r="M88" s="1915"/>
      <c r="N88" s="1917"/>
      <c r="O88" s="1919"/>
      <c r="P88" s="1891"/>
      <c r="Q88" s="1891"/>
      <c r="R88" s="1891"/>
      <c r="S88" s="1891"/>
      <c r="T88" s="1891"/>
      <c r="U88" s="1891"/>
      <c r="V88" s="1891"/>
      <c r="W88" s="1891"/>
      <c r="X88" s="1891"/>
      <c r="Y88" s="1891"/>
      <c r="Z88" s="1879"/>
      <c r="AA88" s="1880"/>
    </row>
    <row r="89" spans="1:27">
      <c r="A89" s="1899"/>
      <c r="B89" s="1921" t="s">
        <v>112</v>
      </c>
      <c r="C89" s="1919"/>
      <c r="D89" s="1919">
        <v>80195</v>
      </c>
      <c r="E89" s="1919"/>
      <c r="F89" s="1907" t="s">
        <v>139</v>
      </c>
      <c r="G89" s="1907"/>
      <c r="H89" s="1907"/>
      <c r="I89" s="1907"/>
      <c r="J89" s="1909"/>
      <c r="K89" s="1909"/>
      <c r="L89" s="1913"/>
      <c r="M89" s="1915"/>
      <c r="N89" s="1917"/>
      <c r="O89" s="1919"/>
      <c r="P89" s="1891"/>
      <c r="Q89" s="1891"/>
      <c r="R89" s="1891"/>
      <c r="S89" s="1891"/>
      <c r="T89" s="1891"/>
      <c r="U89" s="1891"/>
      <c r="V89" s="1891"/>
      <c r="W89" s="1891"/>
      <c r="X89" s="1891"/>
      <c r="Y89" s="1891"/>
      <c r="Z89" s="1879"/>
      <c r="AA89" s="1880"/>
    </row>
    <row r="90" spans="1:27">
      <c r="A90" s="1899"/>
      <c r="B90" s="1922"/>
      <c r="C90" s="1923"/>
      <c r="D90" s="1923"/>
      <c r="E90" s="1923"/>
      <c r="F90" s="1924"/>
      <c r="G90" s="1924"/>
      <c r="H90" s="1924"/>
      <c r="I90" s="1924"/>
      <c r="J90" s="1909"/>
      <c r="K90" s="1909"/>
      <c r="L90" s="1913"/>
      <c r="M90" s="1915"/>
      <c r="N90" s="1917"/>
      <c r="O90" s="1919"/>
      <c r="P90" s="1891"/>
      <c r="Q90" s="1891"/>
      <c r="R90" s="1891"/>
      <c r="S90" s="1891"/>
      <c r="T90" s="1891"/>
      <c r="U90" s="1891"/>
      <c r="V90" s="1891"/>
      <c r="W90" s="1891"/>
      <c r="X90" s="1891"/>
      <c r="Y90" s="1891"/>
      <c r="Z90" s="1894"/>
      <c r="AA90" s="1895"/>
    </row>
    <row r="91" spans="1:27">
      <c r="A91" s="1900"/>
      <c r="B91" s="1869" t="s">
        <v>172</v>
      </c>
      <c r="C91" s="1870"/>
      <c r="D91" s="1870"/>
      <c r="E91" s="1870"/>
      <c r="F91" s="1870"/>
      <c r="G91" s="1870"/>
      <c r="H91" s="1870"/>
      <c r="I91" s="1925"/>
      <c r="J91" s="1910"/>
      <c r="K91" s="1909"/>
      <c r="L91" s="1913"/>
      <c r="M91" s="1930" t="s">
        <v>152</v>
      </c>
      <c r="N91" s="1942">
        <f>SUM(P91:Y94)</f>
        <v>464238</v>
      </c>
      <c r="O91" s="1919" t="s">
        <v>117</v>
      </c>
      <c r="P91" s="1955">
        <v>291069</v>
      </c>
      <c r="Q91" s="1892">
        <v>173169</v>
      </c>
      <c r="R91" s="1892">
        <v>0</v>
      </c>
      <c r="S91" s="1892">
        <v>0</v>
      </c>
      <c r="T91" s="1892">
        <v>0</v>
      </c>
      <c r="U91" s="1892">
        <v>0</v>
      </c>
      <c r="V91" s="1892">
        <v>0</v>
      </c>
      <c r="W91" s="1892">
        <v>0</v>
      </c>
      <c r="X91" s="1892">
        <v>0</v>
      </c>
      <c r="Y91" s="1892">
        <v>0</v>
      </c>
      <c r="Z91" s="2016"/>
      <c r="AA91" s="1897"/>
    </row>
    <row r="92" spans="1:27">
      <c r="A92" s="1900"/>
      <c r="B92" s="1926"/>
      <c r="C92" s="1927"/>
      <c r="D92" s="1927"/>
      <c r="E92" s="1927"/>
      <c r="F92" s="1927"/>
      <c r="G92" s="1927"/>
      <c r="H92" s="1927"/>
      <c r="I92" s="1928"/>
      <c r="J92" s="1910"/>
      <c r="K92" s="1909"/>
      <c r="L92" s="1913"/>
      <c r="M92" s="1930"/>
      <c r="N92" s="1919"/>
      <c r="O92" s="1919"/>
      <c r="P92" s="1956"/>
      <c r="Q92" s="1892"/>
      <c r="R92" s="1892"/>
      <c r="S92" s="1892"/>
      <c r="T92" s="1892"/>
      <c r="U92" s="1892"/>
      <c r="V92" s="1892"/>
      <c r="W92" s="1892"/>
      <c r="X92" s="1892"/>
      <c r="Y92" s="1892"/>
      <c r="Z92" s="2008"/>
      <c r="AA92" s="1886"/>
    </row>
    <row r="93" spans="1:27" ht="9" customHeight="1">
      <c r="A93" s="1900"/>
      <c r="B93" s="1926"/>
      <c r="C93" s="1927"/>
      <c r="D93" s="1927"/>
      <c r="E93" s="1927"/>
      <c r="F93" s="1927"/>
      <c r="G93" s="1927"/>
      <c r="H93" s="1927"/>
      <c r="I93" s="1928"/>
      <c r="J93" s="1910"/>
      <c r="K93" s="1909"/>
      <c r="L93" s="1931">
        <v>61160</v>
      </c>
      <c r="M93" s="1930"/>
      <c r="N93" s="1919"/>
      <c r="O93" s="1919"/>
      <c r="P93" s="1956"/>
      <c r="Q93" s="1892"/>
      <c r="R93" s="1892"/>
      <c r="S93" s="1892"/>
      <c r="T93" s="1892"/>
      <c r="U93" s="1892"/>
      <c r="V93" s="1892"/>
      <c r="W93" s="1892"/>
      <c r="X93" s="1892"/>
      <c r="Y93" s="1892"/>
      <c r="Z93" s="2008" t="s">
        <v>163</v>
      </c>
      <c r="AA93" s="1886">
        <f>P87</f>
        <v>342186</v>
      </c>
    </row>
    <row r="94" spans="1:27" ht="6" customHeight="1">
      <c r="A94" s="1900"/>
      <c r="B94" s="1873"/>
      <c r="C94" s="1874"/>
      <c r="D94" s="1874"/>
      <c r="E94" s="1874"/>
      <c r="F94" s="1874"/>
      <c r="G94" s="1874"/>
      <c r="H94" s="1874"/>
      <c r="I94" s="1929"/>
      <c r="J94" s="1910"/>
      <c r="K94" s="1909"/>
      <c r="L94" s="1931"/>
      <c r="M94" s="1930"/>
      <c r="N94" s="1919"/>
      <c r="O94" s="1919"/>
      <c r="P94" s="2015"/>
      <c r="Q94" s="1892"/>
      <c r="R94" s="1892"/>
      <c r="S94" s="1892"/>
      <c r="T94" s="1892"/>
      <c r="U94" s="1892"/>
      <c r="V94" s="1892"/>
      <c r="W94" s="1892"/>
      <c r="X94" s="1892"/>
      <c r="Y94" s="1892"/>
      <c r="Z94" s="2008"/>
      <c r="AA94" s="1886"/>
    </row>
    <row r="95" spans="1:27" ht="13.5" customHeight="1">
      <c r="A95" s="1900"/>
      <c r="B95" s="1933" t="s">
        <v>170</v>
      </c>
      <c r="C95" s="1934"/>
      <c r="D95" s="1934"/>
      <c r="E95" s="1934"/>
      <c r="F95" s="1934"/>
      <c r="G95" s="1934"/>
      <c r="H95" s="1934"/>
      <c r="I95" s="1935"/>
      <c r="J95" s="1909"/>
      <c r="K95" s="1909"/>
      <c r="L95" s="1931"/>
      <c r="M95" s="1939" t="s">
        <v>400</v>
      </c>
      <c r="N95" s="1942">
        <f>SUM(P95:Y98)</f>
        <v>96427</v>
      </c>
      <c r="O95" s="1919" t="s">
        <v>117</v>
      </c>
      <c r="P95" s="1892">
        <v>51117</v>
      </c>
      <c r="Q95" s="1892">
        <v>45310</v>
      </c>
      <c r="R95" s="1892">
        <v>0</v>
      </c>
      <c r="S95" s="1892">
        <v>0</v>
      </c>
      <c r="T95" s="1892">
        <v>0</v>
      </c>
      <c r="U95" s="1892">
        <v>0</v>
      </c>
      <c r="V95" s="1892">
        <v>0</v>
      </c>
      <c r="W95" s="1892">
        <v>0</v>
      </c>
      <c r="X95" s="1892">
        <v>0</v>
      </c>
      <c r="Y95" s="1892">
        <v>0</v>
      </c>
      <c r="Z95" s="2008" t="s">
        <v>435</v>
      </c>
      <c r="AA95" s="1886">
        <f>Q87</f>
        <v>218479</v>
      </c>
    </row>
    <row r="96" spans="1:27">
      <c r="A96" s="1900"/>
      <c r="B96" s="1933"/>
      <c r="C96" s="1934"/>
      <c r="D96" s="1934"/>
      <c r="E96" s="1934"/>
      <c r="F96" s="1934"/>
      <c r="G96" s="1934"/>
      <c r="H96" s="1934"/>
      <c r="I96" s="1935"/>
      <c r="J96" s="1909"/>
      <c r="K96" s="1909"/>
      <c r="L96" s="1931"/>
      <c r="M96" s="1940"/>
      <c r="N96" s="1919"/>
      <c r="O96" s="1919"/>
      <c r="P96" s="1892"/>
      <c r="Q96" s="1892"/>
      <c r="R96" s="1892"/>
      <c r="S96" s="1892"/>
      <c r="T96" s="1892"/>
      <c r="U96" s="1892"/>
      <c r="V96" s="1892"/>
      <c r="W96" s="1892"/>
      <c r="X96" s="1892"/>
      <c r="Y96" s="1892"/>
      <c r="Z96" s="2008"/>
      <c r="AA96" s="1886"/>
    </row>
    <row r="97" spans="1:27" ht="5.25" customHeight="1">
      <c r="A97" s="1900"/>
      <c r="B97" s="1933"/>
      <c r="C97" s="1934"/>
      <c r="D97" s="1934"/>
      <c r="E97" s="1934"/>
      <c r="F97" s="1934"/>
      <c r="G97" s="1934"/>
      <c r="H97" s="1934"/>
      <c r="I97" s="1935"/>
      <c r="J97" s="1909"/>
      <c r="K97" s="1909"/>
      <c r="L97" s="1931"/>
      <c r="M97" s="1940"/>
      <c r="N97" s="1919"/>
      <c r="O97" s="1919"/>
      <c r="P97" s="1892"/>
      <c r="Q97" s="1892"/>
      <c r="R97" s="1892"/>
      <c r="S97" s="1892"/>
      <c r="T97" s="1892"/>
      <c r="U97" s="1892"/>
      <c r="V97" s="1892"/>
      <c r="W97" s="1892"/>
      <c r="X97" s="1892"/>
      <c r="Y97" s="1892"/>
      <c r="Z97" s="2004"/>
      <c r="AA97" s="2006"/>
    </row>
    <row r="98" spans="1:27" ht="13.5" customHeight="1" thickBot="1">
      <c r="A98" s="1901"/>
      <c r="B98" s="1936"/>
      <c r="C98" s="1937"/>
      <c r="D98" s="1937"/>
      <c r="E98" s="1937"/>
      <c r="F98" s="1937"/>
      <c r="G98" s="1937"/>
      <c r="H98" s="1937"/>
      <c r="I98" s="1938"/>
      <c r="J98" s="1911"/>
      <c r="K98" s="1911"/>
      <c r="L98" s="1932"/>
      <c r="M98" s="1941"/>
      <c r="N98" s="1920"/>
      <c r="O98" s="1920"/>
      <c r="P98" s="1893"/>
      <c r="Q98" s="1893"/>
      <c r="R98" s="1893"/>
      <c r="S98" s="1893"/>
      <c r="T98" s="1893"/>
      <c r="U98" s="1893"/>
      <c r="V98" s="1893"/>
      <c r="W98" s="1893"/>
      <c r="X98" s="1893"/>
      <c r="Y98" s="1893"/>
      <c r="Z98" s="2005"/>
      <c r="AA98" s="2007"/>
    </row>
    <row r="99" spans="1:27" ht="13.5" customHeight="1" thickTop="1" thickBot="1">
      <c r="A99" s="637"/>
      <c r="B99" s="643"/>
      <c r="C99" s="643"/>
      <c r="D99" s="643"/>
      <c r="E99" s="643"/>
      <c r="F99" s="643"/>
      <c r="G99" s="643"/>
      <c r="H99" s="643"/>
      <c r="I99" s="643"/>
      <c r="J99" s="641"/>
      <c r="K99" s="641"/>
      <c r="L99" s="664"/>
      <c r="M99" s="838"/>
      <c r="N99" s="641"/>
      <c r="O99" s="641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40"/>
      <c r="AA99" s="639"/>
    </row>
    <row r="100" spans="1:27" ht="13.5" thickTop="1">
      <c r="A100" s="1898">
        <v>5</v>
      </c>
      <c r="B100" s="1902" t="s">
        <v>106</v>
      </c>
      <c r="C100" s="1903"/>
      <c r="D100" s="2009" t="s">
        <v>174</v>
      </c>
      <c r="E100" s="2010"/>
      <c r="F100" s="2010"/>
      <c r="G100" s="2010"/>
      <c r="H100" s="2010"/>
      <c r="I100" s="2011"/>
      <c r="J100" s="1908">
        <v>2012</v>
      </c>
      <c r="K100" s="1908">
        <v>2013</v>
      </c>
      <c r="L100" s="1912">
        <f>SUM(N100,L106)</f>
        <v>5243853</v>
      </c>
      <c r="M100" s="1914" t="s">
        <v>125</v>
      </c>
      <c r="N100" s="1916">
        <f>SUM(N104:N111)</f>
        <v>2724870</v>
      </c>
      <c r="O100" s="1918" t="s">
        <v>117</v>
      </c>
      <c r="P100" s="1890">
        <f>SUM(P104:P111)</f>
        <v>2724870</v>
      </c>
      <c r="Q100" s="1890">
        <f>SUM(Q104:Q111)</f>
        <v>0</v>
      </c>
      <c r="R100" s="1890">
        <f>SUM(R104:R111)</f>
        <v>0</v>
      </c>
      <c r="S100" s="1890">
        <f t="shared" ref="S100:Y100" si="6">SUM(S104:S111)</f>
        <v>0</v>
      </c>
      <c r="T100" s="1890">
        <f t="shared" si="6"/>
        <v>0</v>
      </c>
      <c r="U100" s="1890">
        <f t="shared" si="6"/>
        <v>0</v>
      </c>
      <c r="V100" s="1890">
        <f t="shared" si="6"/>
        <v>0</v>
      </c>
      <c r="W100" s="1890">
        <f t="shared" si="6"/>
        <v>0</v>
      </c>
      <c r="X100" s="1890">
        <f t="shared" si="6"/>
        <v>0</v>
      </c>
      <c r="Y100" s="1890">
        <f t="shared" si="6"/>
        <v>0</v>
      </c>
      <c r="Z100" s="1877">
        <f>SUM(AA104:AA111)</f>
        <v>2724870</v>
      </c>
      <c r="AA100" s="1878"/>
    </row>
    <row r="101" spans="1:27">
      <c r="A101" s="1899"/>
      <c r="B101" s="1904"/>
      <c r="C101" s="1905"/>
      <c r="D101" s="2012"/>
      <c r="E101" s="2013"/>
      <c r="F101" s="2013"/>
      <c r="G101" s="2013"/>
      <c r="H101" s="2013"/>
      <c r="I101" s="1910"/>
      <c r="J101" s="1909"/>
      <c r="K101" s="1909"/>
      <c r="L101" s="1913"/>
      <c r="M101" s="1915"/>
      <c r="N101" s="1917"/>
      <c r="O101" s="1919"/>
      <c r="P101" s="1891"/>
      <c r="Q101" s="1891"/>
      <c r="R101" s="1891"/>
      <c r="S101" s="1891"/>
      <c r="T101" s="1891"/>
      <c r="U101" s="1891"/>
      <c r="V101" s="1891"/>
      <c r="W101" s="1891"/>
      <c r="X101" s="1891"/>
      <c r="Y101" s="1891"/>
      <c r="Z101" s="1879"/>
      <c r="AA101" s="1880"/>
    </row>
    <row r="102" spans="1:27">
      <c r="A102" s="1899"/>
      <c r="B102" s="1921" t="s">
        <v>112</v>
      </c>
      <c r="C102" s="1919"/>
      <c r="D102" s="2012"/>
      <c r="E102" s="2013"/>
      <c r="F102" s="2013"/>
      <c r="G102" s="2013"/>
      <c r="H102" s="2013"/>
      <c r="I102" s="1910"/>
      <c r="J102" s="1909"/>
      <c r="K102" s="1909"/>
      <c r="L102" s="1913"/>
      <c r="M102" s="1915"/>
      <c r="N102" s="1917"/>
      <c r="O102" s="1919"/>
      <c r="P102" s="1891"/>
      <c r="Q102" s="1891"/>
      <c r="R102" s="1891"/>
      <c r="S102" s="1891"/>
      <c r="T102" s="1891"/>
      <c r="U102" s="1891"/>
      <c r="V102" s="1891"/>
      <c r="W102" s="1891"/>
      <c r="X102" s="1891"/>
      <c r="Y102" s="1891"/>
      <c r="Z102" s="1879"/>
      <c r="AA102" s="1880"/>
    </row>
    <row r="103" spans="1:27">
      <c r="A103" s="1899"/>
      <c r="B103" s="1922"/>
      <c r="C103" s="1923"/>
      <c r="D103" s="1974"/>
      <c r="E103" s="1975"/>
      <c r="F103" s="1975"/>
      <c r="G103" s="1975"/>
      <c r="H103" s="1975"/>
      <c r="I103" s="2014"/>
      <c r="J103" s="1909"/>
      <c r="K103" s="1909"/>
      <c r="L103" s="1913"/>
      <c r="M103" s="1915"/>
      <c r="N103" s="1917"/>
      <c r="O103" s="1919"/>
      <c r="P103" s="1891"/>
      <c r="Q103" s="1891"/>
      <c r="R103" s="1891"/>
      <c r="S103" s="1891"/>
      <c r="T103" s="1891"/>
      <c r="U103" s="1891"/>
      <c r="V103" s="1891"/>
      <c r="W103" s="1891"/>
      <c r="X103" s="1891"/>
      <c r="Y103" s="1891"/>
      <c r="Z103" s="1894"/>
      <c r="AA103" s="1895"/>
    </row>
    <row r="104" spans="1:27">
      <c r="A104" s="1900"/>
      <c r="B104" s="1869" t="s">
        <v>175</v>
      </c>
      <c r="C104" s="1870"/>
      <c r="D104" s="1870"/>
      <c r="E104" s="1870"/>
      <c r="F104" s="1870"/>
      <c r="G104" s="1870"/>
      <c r="H104" s="1870"/>
      <c r="I104" s="1925"/>
      <c r="J104" s="1910"/>
      <c r="K104" s="1909"/>
      <c r="L104" s="1913"/>
      <c r="M104" s="1930" t="s">
        <v>152</v>
      </c>
      <c r="N104" s="1892">
        <v>0</v>
      </c>
      <c r="O104" s="1919" t="s">
        <v>117</v>
      </c>
      <c r="P104" s="1892">
        <v>0</v>
      </c>
      <c r="Q104" s="1892">
        <v>0</v>
      </c>
      <c r="R104" s="1892">
        <v>0</v>
      </c>
      <c r="S104" s="1892">
        <v>0</v>
      </c>
      <c r="T104" s="1892">
        <v>0</v>
      </c>
      <c r="U104" s="1892">
        <v>0</v>
      </c>
      <c r="V104" s="1892">
        <v>0</v>
      </c>
      <c r="W104" s="1892">
        <v>0</v>
      </c>
      <c r="X104" s="1892">
        <v>0</v>
      </c>
      <c r="Y104" s="1892">
        <v>0</v>
      </c>
      <c r="Z104" s="1896"/>
      <c r="AA104" s="1897"/>
    </row>
    <row r="105" spans="1:27">
      <c r="A105" s="1900"/>
      <c r="B105" s="1926"/>
      <c r="C105" s="1927"/>
      <c r="D105" s="1927"/>
      <c r="E105" s="1927"/>
      <c r="F105" s="1927"/>
      <c r="G105" s="1927"/>
      <c r="H105" s="1927"/>
      <c r="I105" s="1928"/>
      <c r="J105" s="1910"/>
      <c r="K105" s="1909"/>
      <c r="L105" s="1913"/>
      <c r="M105" s="1930"/>
      <c r="N105" s="1892"/>
      <c r="O105" s="1919"/>
      <c r="P105" s="1892"/>
      <c r="Q105" s="1892"/>
      <c r="R105" s="1892"/>
      <c r="S105" s="1892"/>
      <c r="T105" s="1892"/>
      <c r="U105" s="1892"/>
      <c r="V105" s="1892"/>
      <c r="W105" s="1892"/>
      <c r="X105" s="1892"/>
      <c r="Y105" s="1892"/>
      <c r="Z105" s="1885"/>
      <c r="AA105" s="1886"/>
    </row>
    <row r="106" spans="1:27">
      <c r="A106" s="1900"/>
      <c r="B106" s="1926"/>
      <c r="C106" s="1927"/>
      <c r="D106" s="1927"/>
      <c r="E106" s="1927"/>
      <c r="F106" s="1927"/>
      <c r="G106" s="1927"/>
      <c r="H106" s="1927"/>
      <c r="I106" s="1928"/>
      <c r="J106" s="1910"/>
      <c r="K106" s="1909"/>
      <c r="L106" s="1931">
        <v>2518983</v>
      </c>
      <c r="M106" s="1930"/>
      <c r="N106" s="1892"/>
      <c r="O106" s="1919"/>
      <c r="P106" s="1892"/>
      <c r="Q106" s="1892"/>
      <c r="R106" s="1892"/>
      <c r="S106" s="1892"/>
      <c r="T106" s="1892"/>
      <c r="U106" s="1892"/>
      <c r="V106" s="1892"/>
      <c r="W106" s="1892"/>
      <c r="X106" s="1892"/>
      <c r="Y106" s="1892"/>
      <c r="Z106" s="1885" t="s">
        <v>163</v>
      </c>
      <c r="AA106" s="1886">
        <f>P100</f>
        <v>2724870</v>
      </c>
    </row>
    <row r="107" spans="1:27" ht="0.75" customHeight="1">
      <c r="A107" s="1900"/>
      <c r="B107" s="1873"/>
      <c r="C107" s="1874"/>
      <c r="D107" s="1874"/>
      <c r="E107" s="1874"/>
      <c r="F107" s="1874"/>
      <c r="G107" s="1874"/>
      <c r="H107" s="1874"/>
      <c r="I107" s="1929"/>
      <c r="J107" s="1910"/>
      <c r="K107" s="1909"/>
      <c r="L107" s="1931"/>
      <c r="M107" s="1930"/>
      <c r="N107" s="1892"/>
      <c r="O107" s="1919"/>
      <c r="P107" s="1892"/>
      <c r="Q107" s="1892"/>
      <c r="R107" s="1892"/>
      <c r="S107" s="1892"/>
      <c r="T107" s="1892"/>
      <c r="U107" s="1892"/>
      <c r="V107" s="1892"/>
      <c r="W107" s="1892"/>
      <c r="X107" s="1892"/>
      <c r="Y107" s="1892"/>
      <c r="Z107" s="1885"/>
      <c r="AA107" s="1886"/>
    </row>
    <row r="108" spans="1:27">
      <c r="A108" s="1900"/>
      <c r="B108" s="1933" t="s">
        <v>176</v>
      </c>
      <c r="C108" s="1934"/>
      <c r="D108" s="1934"/>
      <c r="E108" s="1934"/>
      <c r="F108" s="1934"/>
      <c r="G108" s="1934"/>
      <c r="H108" s="1934"/>
      <c r="I108" s="1935"/>
      <c r="J108" s="1909"/>
      <c r="K108" s="1909"/>
      <c r="L108" s="1931"/>
      <c r="M108" s="1939" t="s">
        <v>436</v>
      </c>
      <c r="N108" s="1942">
        <f>SUM(P108:Y111)</f>
        <v>2724870</v>
      </c>
      <c r="O108" s="1919" t="s">
        <v>117</v>
      </c>
      <c r="P108" s="1892">
        <v>2724870</v>
      </c>
      <c r="Q108" s="1892">
        <v>0</v>
      </c>
      <c r="R108" s="1892">
        <v>0</v>
      </c>
      <c r="S108" s="1892">
        <v>0</v>
      </c>
      <c r="T108" s="1892">
        <v>0</v>
      </c>
      <c r="U108" s="1892">
        <v>0</v>
      </c>
      <c r="V108" s="1892">
        <v>0</v>
      </c>
      <c r="W108" s="1892">
        <v>0</v>
      </c>
      <c r="X108" s="1892">
        <v>0</v>
      </c>
      <c r="Y108" s="1892">
        <v>0</v>
      </c>
      <c r="Z108" s="1885"/>
      <c r="AA108" s="1998"/>
    </row>
    <row r="109" spans="1:27">
      <c r="A109" s="1900"/>
      <c r="B109" s="1933"/>
      <c r="C109" s="1934"/>
      <c r="D109" s="1934"/>
      <c r="E109" s="1934"/>
      <c r="F109" s="1934"/>
      <c r="G109" s="1934"/>
      <c r="H109" s="1934"/>
      <c r="I109" s="1935"/>
      <c r="J109" s="1909"/>
      <c r="K109" s="1909"/>
      <c r="L109" s="1931"/>
      <c r="M109" s="1940"/>
      <c r="N109" s="1919"/>
      <c r="O109" s="1919"/>
      <c r="P109" s="1892"/>
      <c r="Q109" s="1892"/>
      <c r="R109" s="1892"/>
      <c r="S109" s="1892"/>
      <c r="T109" s="1892"/>
      <c r="U109" s="1892"/>
      <c r="V109" s="1892"/>
      <c r="W109" s="1892"/>
      <c r="X109" s="1892"/>
      <c r="Y109" s="1892"/>
      <c r="Z109" s="1885"/>
      <c r="AA109" s="1998"/>
    </row>
    <row r="110" spans="1:27" ht="5.25" customHeight="1">
      <c r="A110" s="1900"/>
      <c r="B110" s="1933"/>
      <c r="C110" s="1934"/>
      <c r="D110" s="1934"/>
      <c r="E110" s="1934"/>
      <c r="F110" s="1934"/>
      <c r="G110" s="1934"/>
      <c r="H110" s="1934"/>
      <c r="I110" s="1935"/>
      <c r="J110" s="1909"/>
      <c r="K110" s="1909"/>
      <c r="L110" s="1931"/>
      <c r="M110" s="1940"/>
      <c r="N110" s="1919"/>
      <c r="O110" s="1919"/>
      <c r="P110" s="1892"/>
      <c r="Q110" s="1892"/>
      <c r="R110" s="1892"/>
      <c r="S110" s="1892"/>
      <c r="T110" s="1892"/>
      <c r="U110" s="1892"/>
      <c r="V110" s="1892"/>
      <c r="W110" s="1892"/>
      <c r="X110" s="1892"/>
      <c r="Y110" s="1892"/>
      <c r="Z110" s="1887"/>
      <c r="AA110" s="1998"/>
    </row>
    <row r="111" spans="1:27" ht="8.25" customHeight="1" thickBot="1">
      <c r="A111" s="1901"/>
      <c r="B111" s="1936"/>
      <c r="C111" s="1937"/>
      <c r="D111" s="1937"/>
      <c r="E111" s="1937"/>
      <c r="F111" s="1937"/>
      <c r="G111" s="1937"/>
      <c r="H111" s="1937"/>
      <c r="I111" s="1938"/>
      <c r="J111" s="1911"/>
      <c r="K111" s="1911"/>
      <c r="L111" s="1932"/>
      <c r="M111" s="1941"/>
      <c r="N111" s="1920"/>
      <c r="O111" s="1920"/>
      <c r="P111" s="1893"/>
      <c r="Q111" s="1893"/>
      <c r="R111" s="1893"/>
      <c r="S111" s="1893"/>
      <c r="T111" s="1893"/>
      <c r="U111" s="1893"/>
      <c r="V111" s="1893"/>
      <c r="W111" s="1893"/>
      <c r="X111" s="1893"/>
      <c r="Y111" s="1893"/>
      <c r="Z111" s="1888"/>
      <c r="AA111" s="1999"/>
    </row>
    <row r="112" spans="1:27" ht="12.75" customHeight="1" thickTop="1" thickBot="1">
      <c r="A112" s="637"/>
      <c r="B112" s="643"/>
      <c r="C112" s="643"/>
      <c r="D112" s="643"/>
      <c r="E112" s="643"/>
      <c r="F112" s="643"/>
      <c r="G112" s="643"/>
      <c r="H112" s="643"/>
      <c r="I112" s="643"/>
      <c r="J112" s="637"/>
      <c r="K112" s="637"/>
      <c r="L112" s="663"/>
      <c r="M112" s="836"/>
      <c r="N112" s="637"/>
      <c r="O112" s="637"/>
      <c r="P112" s="657"/>
      <c r="Q112" s="657"/>
      <c r="R112" s="657"/>
      <c r="S112" s="657"/>
      <c r="T112" s="657"/>
      <c r="U112" s="657"/>
      <c r="V112" s="657"/>
      <c r="W112" s="657"/>
      <c r="X112" s="657"/>
      <c r="Y112" s="657"/>
      <c r="Z112" s="636"/>
      <c r="AA112" s="635"/>
    </row>
    <row r="113" spans="1:27" ht="16.5" customHeight="1" thickTop="1">
      <c r="A113" s="1898">
        <v>6</v>
      </c>
      <c r="B113" s="1902" t="s">
        <v>106</v>
      </c>
      <c r="C113" s="1903"/>
      <c r="D113" s="1903">
        <v>750</v>
      </c>
      <c r="E113" s="1903"/>
      <c r="F113" s="1906" t="s">
        <v>141</v>
      </c>
      <c r="G113" s="1906"/>
      <c r="H113" s="1906"/>
      <c r="I113" s="1906"/>
      <c r="J113" s="1908">
        <v>2011</v>
      </c>
      <c r="K113" s="1908">
        <v>2013</v>
      </c>
      <c r="L113" s="1912">
        <f>SUM(N113,L119)</f>
        <v>593380</v>
      </c>
      <c r="M113" s="1914" t="s">
        <v>125</v>
      </c>
      <c r="N113" s="1916">
        <f>SUM(N117:N124)</f>
        <v>298000</v>
      </c>
      <c r="O113" s="1918" t="s">
        <v>117</v>
      </c>
      <c r="P113" s="1890">
        <f>SUM(P117:P124)</f>
        <v>298000</v>
      </c>
      <c r="Q113" s="1890">
        <f>SUM(Q117:Q124)</f>
        <v>0</v>
      </c>
      <c r="R113" s="1890">
        <f>SUM(R117:R124)</f>
        <v>0</v>
      </c>
      <c r="S113" s="1890">
        <f t="shared" ref="S113:Y113" si="7">SUM(S117:S124)</f>
        <v>0</v>
      </c>
      <c r="T113" s="1890">
        <f t="shared" si="7"/>
        <v>0</v>
      </c>
      <c r="U113" s="1890">
        <f t="shared" si="7"/>
        <v>0</v>
      </c>
      <c r="V113" s="1890">
        <f t="shared" si="7"/>
        <v>0</v>
      </c>
      <c r="W113" s="1890">
        <f t="shared" si="7"/>
        <v>0</v>
      </c>
      <c r="X113" s="1890">
        <f t="shared" si="7"/>
        <v>0</v>
      </c>
      <c r="Y113" s="1890">
        <f t="shared" si="7"/>
        <v>0</v>
      </c>
      <c r="Z113" s="1877">
        <f>SUM(AA117:AA124)</f>
        <v>298000</v>
      </c>
      <c r="AA113" s="1878"/>
    </row>
    <row r="114" spans="1:27" ht="11.25" customHeight="1">
      <c r="A114" s="1899"/>
      <c r="B114" s="1904"/>
      <c r="C114" s="1905"/>
      <c r="D114" s="1905"/>
      <c r="E114" s="1905"/>
      <c r="F114" s="1907"/>
      <c r="G114" s="1907"/>
      <c r="H114" s="1907"/>
      <c r="I114" s="1907"/>
      <c r="J114" s="1909"/>
      <c r="K114" s="1909"/>
      <c r="L114" s="1913"/>
      <c r="M114" s="1915"/>
      <c r="N114" s="1917"/>
      <c r="O114" s="1919"/>
      <c r="P114" s="1891"/>
      <c r="Q114" s="1891"/>
      <c r="R114" s="1891"/>
      <c r="S114" s="1891"/>
      <c r="T114" s="1891"/>
      <c r="U114" s="1891"/>
      <c r="V114" s="1891"/>
      <c r="W114" s="1891"/>
      <c r="X114" s="1891"/>
      <c r="Y114" s="1891"/>
      <c r="Z114" s="1879"/>
      <c r="AA114" s="1880"/>
    </row>
    <row r="115" spans="1:27" ht="16.5" customHeight="1">
      <c r="A115" s="1899"/>
      <c r="B115" s="1921" t="s">
        <v>112</v>
      </c>
      <c r="C115" s="1919"/>
      <c r="D115" s="1919">
        <v>75075</v>
      </c>
      <c r="E115" s="1919"/>
      <c r="F115" s="1907" t="s">
        <v>345</v>
      </c>
      <c r="G115" s="1907"/>
      <c r="H115" s="1907"/>
      <c r="I115" s="1907"/>
      <c r="J115" s="1909"/>
      <c r="K115" s="1909"/>
      <c r="L115" s="1913"/>
      <c r="M115" s="1915"/>
      <c r="N115" s="1917"/>
      <c r="O115" s="1919"/>
      <c r="P115" s="1891"/>
      <c r="Q115" s="1891"/>
      <c r="R115" s="1891"/>
      <c r="S115" s="1891"/>
      <c r="T115" s="1891"/>
      <c r="U115" s="1891"/>
      <c r="V115" s="1891"/>
      <c r="W115" s="1891"/>
      <c r="X115" s="1891"/>
      <c r="Y115" s="1891"/>
      <c r="Z115" s="1879"/>
      <c r="AA115" s="1880"/>
    </row>
    <row r="116" spans="1:27" ht="13.5" customHeight="1">
      <c r="A116" s="1899"/>
      <c r="B116" s="1922"/>
      <c r="C116" s="1923"/>
      <c r="D116" s="1923"/>
      <c r="E116" s="1923"/>
      <c r="F116" s="1924"/>
      <c r="G116" s="1924"/>
      <c r="H116" s="1924"/>
      <c r="I116" s="1924"/>
      <c r="J116" s="1909"/>
      <c r="K116" s="1909"/>
      <c r="L116" s="1913"/>
      <c r="M116" s="1915"/>
      <c r="N116" s="1917"/>
      <c r="O116" s="1919"/>
      <c r="P116" s="1891"/>
      <c r="Q116" s="1891"/>
      <c r="R116" s="1891"/>
      <c r="S116" s="1891"/>
      <c r="T116" s="1891"/>
      <c r="U116" s="1891"/>
      <c r="V116" s="1891"/>
      <c r="W116" s="1891"/>
      <c r="X116" s="1891"/>
      <c r="Y116" s="1891"/>
      <c r="Z116" s="1894"/>
      <c r="AA116" s="1895"/>
    </row>
    <row r="117" spans="1:27" ht="16.5" customHeight="1">
      <c r="A117" s="1900"/>
      <c r="B117" s="1869" t="s">
        <v>177</v>
      </c>
      <c r="C117" s="1870"/>
      <c r="D117" s="1870"/>
      <c r="E117" s="1870"/>
      <c r="F117" s="1870"/>
      <c r="G117" s="1870"/>
      <c r="H117" s="1870"/>
      <c r="I117" s="1925"/>
      <c r="J117" s="1910"/>
      <c r="K117" s="1909"/>
      <c r="L117" s="1913"/>
      <c r="M117" s="1930" t="s">
        <v>152</v>
      </c>
      <c r="N117" s="1942">
        <f>SUM(P117:Y120)</f>
        <v>253300</v>
      </c>
      <c r="O117" s="1919" t="s">
        <v>117</v>
      </c>
      <c r="P117" s="1892">
        <v>253300</v>
      </c>
      <c r="Q117" s="1892">
        <v>0</v>
      </c>
      <c r="R117" s="1892">
        <v>0</v>
      </c>
      <c r="S117" s="1892">
        <v>0</v>
      </c>
      <c r="T117" s="1892">
        <v>0</v>
      </c>
      <c r="U117" s="1892">
        <v>0</v>
      </c>
      <c r="V117" s="1892">
        <v>0</v>
      </c>
      <c r="W117" s="1892">
        <v>0</v>
      </c>
      <c r="X117" s="1892">
        <v>0</v>
      </c>
      <c r="Y117" s="1892">
        <v>0</v>
      </c>
      <c r="Z117" s="1896"/>
      <c r="AA117" s="1897"/>
    </row>
    <row r="118" spans="1:27" ht="16.5" customHeight="1">
      <c r="A118" s="1900"/>
      <c r="B118" s="1926"/>
      <c r="C118" s="1927"/>
      <c r="D118" s="1927"/>
      <c r="E118" s="1927"/>
      <c r="F118" s="1927"/>
      <c r="G118" s="1927"/>
      <c r="H118" s="1927"/>
      <c r="I118" s="1928"/>
      <c r="J118" s="1910"/>
      <c r="K118" s="1909"/>
      <c r="L118" s="1913"/>
      <c r="M118" s="1930"/>
      <c r="N118" s="1919"/>
      <c r="O118" s="1919"/>
      <c r="P118" s="1892"/>
      <c r="Q118" s="1892"/>
      <c r="R118" s="1892"/>
      <c r="S118" s="1892"/>
      <c r="T118" s="1892"/>
      <c r="U118" s="1892"/>
      <c r="V118" s="1892"/>
      <c r="W118" s="1892"/>
      <c r="X118" s="1892"/>
      <c r="Y118" s="1892"/>
      <c r="Z118" s="1885"/>
      <c r="AA118" s="1886"/>
    </row>
    <row r="119" spans="1:27" ht="16.5" customHeight="1">
      <c r="A119" s="1900"/>
      <c r="B119" s="1926"/>
      <c r="C119" s="1927"/>
      <c r="D119" s="1927"/>
      <c r="E119" s="1927"/>
      <c r="F119" s="1927"/>
      <c r="G119" s="1927"/>
      <c r="H119" s="1927"/>
      <c r="I119" s="1928"/>
      <c r="J119" s="1910"/>
      <c r="K119" s="1909"/>
      <c r="L119" s="1931">
        <v>295380</v>
      </c>
      <c r="M119" s="1930"/>
      <c r="N119" s="1919"/>
      <c r="O119" s="1919"/>
      <c r="P119" s="1892"/>
      <c r="Q119" s="1892"/>
      <c r="R119" s="1892"/>
      <c r="S119" s="1892"/>
      <c r="T119" s="1892"/>
      <c r="U119" s="1892"/>
      <c r="V119" s="1892"/>
      <c r="W119" s="1892"/>
      <c r="X119" s="1892"/>
      <c r="Y119" s="1892"/>
      <c r="Z119" s="1885" t="s">
        <v>163</v>
      </c>
      <c r="AA119" s="1886">
        <f>P113</f>
        <v>298000</v>
      </c>
    </row>
    <row r="120" spans="1:27" ht="6" customHeight="1">
      <c r="A120" s="1900"/>
      <c r="B120" s="1873"/>
      <c r="C120" s="1874"/>
      <c r="D120" s="1874"/>
      <c r="E120" s="1874"/>
      <c r="F120" s="1874"/>
      <c r="G120" s="1874"/>
      <c r="H120" s="1874"/>
      <c r="I120" s="1929"/>
      <c r="J120" s="1910"/>
      <c r="K120" s="1909"/>
      <c r="L120" s="1931"/>
      <c r="M120" s="1930"/>
      <c r="N120" s="1919"/>
      <c r="O120" s="1919"/>
      <c r="P120" s="1892"/>
      <c r="Q120" s="1892"/>
      <c r="R120" s="1892"/>
      <c r="S120" s="1892"/>
      <c r="T120" s="1892"/>
      <c r="U120" s="1892"/>
      <c r="V120" s="1892"/>
      <c r="W120" s="1892"/>
      <c r="X120" s="1892"/>
      <c r="Y120" s="1892"/>
      <c r="Z120" s="1885"/>
      <c r="AA120" s="1886"/>
    </row>
    <row r="121" spans="1:27" ht="16.5" customHeight="1">
      <c r="A121" s="1900"/>
      <c r="B121" s="1933" t="s">
        <v>176</v>
      </c>
      <c r="C121" s="1934"/>
      <c r="D121" s="1934"/>
      <c r="E121" s="1934"/>
      <c r="F121" s="1934"/>
      <c r="G121" s="1934"/>
      <c r="H121" s="1934"/>
      <c r="I121" s="1935"/>
      <c r="J121" s="1909"/>
      <c r="K121" s="1909"/>
      <c r="L121" s="1931"/>
      <c r="M121" s="1939" t="s">
        <v>401</v>
      </c>
      <c r="N121" s="1942">
        <f>SUM(P121:Y124)</f>
        <v>44700</v>
      </c>
      <c r="O121" s="1919" t="s">
        <v>117</v>
      </c>
      <c r="P121" s="1892">
        <v>44700</v>
      </c>
      <c r="Q121" s="1892">
        <v>0</v>
      </c>
      <c r="R121" s="1892">
        <v>0</v>
      </c>
      <c r="S121" s="1892">
        <v>0</v>
      </c>
      <c r="T121" s="1892">
        <v>0</v>
      </c>
      <c r="U121" s="1892">
        <v>0</v>
      </c>
      <c r="V121" s="1892">
        <v>0</v>
      </c>
      <c r="W121" s="1892">
        <v>0</v>
      </c>
      <c r="X121" s="1892">
        <v>0</v>
      </c>
      <c r="Y121" s="1892">
        <v>0</v>
      </c>
      <c r="Z121" s="1885"/>
      <c r="AA121" s="1998"/>
    </row>
    <row r="122" spans="1:27" ht="16.5" customHeight="1">
      <c r="A122" s="1900"/>
      <c r="B122" s="1933"/>
      <c r="C122" s="1934"/>
      <c r="D122" s="1934"/>
      <c r="E122" s="1934"/>
      <c r="F122" s="1934"/>
      <c r="G122" s="1934"/>
      <c r="H122" s="1934"/>
      <c r="I122" s="1935"/>
      <c r="J122" s="1909"/>
      <c r="K122" s="1909"/>
      <c r="L122" s="1931"/>
      <c r="M122" s="1940"/>
      <c r="N122" s="1919"/>
      <c r="O122" s="1919"/>
      <c r="P122" s="1892"/>
      <c r="Q122" s="1892"/>
      <c r="R122" s="1892"/>
      <c r="S122" s="1892"/>
      <c r="T122" s="1892"/>
      <c r="U122" s="1892"/>
      <c r="V122" s="1892"/>
      <c r="W122" s="1892"/>
      <c r="X122" s="1892"/>
      <c r="Y122" s="1892"/>
      <c r="Z122" s="1885"/>
      <c r="AA122" s="1998"/>
    </row>
    <row r="123" spans="1:27" ht="9.75" customHeight="1">
      <c r="A123" s="1900"/>
      <c r="B123" s="1933"/>
      <c r="C123" s="1934"/>
      <c r="D123" s="1934"/>
      <c r="E123" s="1934"/>
      <c r="F123" s="1934"/>
      <c r="G123" s="1934"/>
      <c r="H123" s="1934"/>
      <c r="I123" s="1935"/>
      <c r="J123" s="1909"/>
      <c r="K123" s="1909"/>
      <c r="L123" s="1931"/>
      <c r="M123" s="1940"/>
      <c r="N123" s="1919"/>
      <c r="O123" s="1919"/>
      <c r="P123" s="1892"/>
      <c r="Q123" s="1892"/>
      <c r="R123" s="1892"/>
      <c r="S123" s="1892"/>
      <c r="T123" s="1892"/>
      <c r="U123" s="1892"/>
      <c r="V123" s="1892"/>
      <c r="W123" s="1892"/>
      <c r="X123" s="1892"/>
      <c r="Y123" s="1892"/>
      <c r="Z123" s="1887"/>
      <c r="AA123" s="1998"/>
    </row>
    <row r="124" spans="1:27" ht="8.25" customHeight="1" thickBot="1">
      <c r="A124" s="1901"/>
      <c r="B124" s="1936"/>
      <c r="C124" s="1937"/>
      <c r="D124" s="1937"/>
      <c r="E124" s="1937"/>
      <c r="F124" s="1937"/>
      <c r="G124" s="1937"/>
      <c r="H124" s="1937"/>
      <c r="I124" s="1938"/>
      <c r="J124" s="1911"/>
      <c r="K124" s="1911"/>
      <c r="L124" s="1932"/>
      <c r="M124" s="1941"/>
      <c r="N124" s="1920"/>
      <c r="O124" s="1920"/>
      <c r="P124" s="1893"/>
      <c r="Q124" s="1893"/>
      <c r="R124" s="1893"/>
      <c r="S124" s="1893"/>
      <c r="T124" s="1893"/>
      <c r="U124" s="1893"/>
      <c r="V124" s="1893"/>
      <c r="W124" s="1893"/>
      <c r="X124" s="1893"/>
      <c r="Y124" s="1893"/>
      <c r="Z124" s="1888"/>
      <c r="AA124" s="1999"/>
    </row>
    <row r="125" spans="1:27" ht="8.25" customHeight="1" thickTop="1" thickBot="1">
      <c r="A125" s="815"/>
      <c r="B125" s="816"/>
      <c r="C125" s="816"/>
      <c r="D125" s="816"/>
      <c r="E125" s="816"/>
      <c r="F125" s="816"/>
      <c r="G125" s="816"/>
      <c r="H125" s="816"/>
      <c r="I125" s="816"/>
      <c r="J125" s="817"/>
      <c r="K125" s="817"/>
      <c r="L125" s="828"/>
      <c r="M125" s="840"/>
      <c r="N125" s="817"/>
      <c r="O125" s="817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826"/>
      <c r="AA125" s="827"/>
    </row>
    <row r="126" spans="1:27" ht="13.5" thickTop="1">
      <c r="A126" s="1898">
        <v>7</v>
      </c>
      <c r="B126" s="1902" t="s">
        <v>106</v>
      </c>
      <c r="C126" s="1903"/>
      <c r="D126" s="1903">
        <v>853</v>
      </c>
      <c r="E126" s="1903"/>
      <c r="F126" s="1906" t="s">
        <v>383</v>
      </c>
      <c r="G126" s="1906"/>
      <c r="H126" s="1906"/>
      <c r="I126" s="1906"/>
      <c r="J126" s="1908">
        <v>2011</v>
      </c>
      <c r="K126" s="1908">
        <v>2014</v>
      </c>
      <c r="L126" s="1912">
        <v>730500</v>
      </c>
      <c r="M126" s="1914" t="s">
        <v>125</v>
      </c>
      <c r="N126" s="1916">
        <f>SUM(N130:N137)</f>
        <v>283383</v>
      </c>
      <c r="O126" s="1918" t="s">
        <v>117</v>
      </c>
      <c r="P126" s="1890">
        <f>SUM(P130:P137)</f>
        <v>272883</v>
      </c>
      <c r="Q126" s="1890">
        <f>SUM(Q130:Q137)</f>
        <v>10500</v>
      </c>
      <c r="R126" s="1890">
        <f>SUM(R130:R137)</f>
        <v>0</v>
      </c>
      <c r="S126" s="1890">
        <f t="shared" ref="S126:Y126" si="8">SUM(S130:S137)</f>
        <v>0</v>
      </c>
      <c r="T126" s="1890">
        <f t="shared" si="8"/>
        <v>0</v>
      </c>
      <c r="U126" s="1890">
        <f t="shared" si="8"/>
        <v>0</v>
      </c>
      <c r="V126" s="1890">
        <f t="shared" si="8"/>
        <v>0</v>
      </c>
      <c r="W126" s="1890">
        <f t="shared" si="8"/>
        <v>0</v>
      </c>
      <c r="X126" s="1890">
        <f t="shared" si="8"/>
        <v>0</v>
      </c>
      <c r="Y126" s="1890">
        <f t="shared" si="8"/>
        <v>0</v>
      </c>
      <c r="Z126" s="1877">
        <f>SUM(AA130:AA137)</f>
        <v>283383</v>
      </c>
      <c r="AA126" s="1878"/>
    </row>
    <row r="127" spans="1:27">
      <c r="A127" s="1899"/>
      <c r="B127" s="1904"/>
      <c r="C127" s="1905"/>
      <c r="D127" s="1905"/>
      <c r="E127" s="1905"/>
      <c r="F127" s="1907"/>
      <c r="G127" s="1907"/>
      <c r="H127" s="1907"/>
      <c r="I127" s="1907"/>
      <c r="J127" s="1909"/>
      <c r="K127" s="1909"/>
      <c r="L127" s="1913"/>
      <c r="M127" s="1915"/>
      <c r="N127" s="1917"/>
      <c r="O127" s="1919"/>
      <c r="P127" s="1891"/>
      <c r="Q127" s="1891"/>
      <c r="R127" s="1891"/>
      <c r="S127" s="1891"/>
      <c r="T127" s="1891"/>
      <c r="U127" s="1891"/>
      <c r="V127" s="1891"/>
      <c r="W127" s="1891"/>
      <c r="X127" s="1891"/>
      <c r="Y127" s="1891"/>
      <c r="Z127" s="1879"/>
      <c r="AA127" s="1880"/>
    </row>
    <row r="128" spans="1:27">
      <c r="A128" s="1899"/>
      <c r="B128" s="1921" t="s">
        <v>112</v>
      </c>
      <c r="C128" s="1919"/>
      <c r="D128" s="1919">
        <v>85395</v>
      </c>
      <c r="E128" s="1919"/>
      <c r="F128" s="1907" t="s">
        <v>139</v>
      </c>
      <c r="G128" s="1907"/>
      <c r="H128" s="1907"/>
      <c r="I128" s="1907"/>
      <c r="J128" s="1909"/>
      <c r="K128" s="1909"/>
      <c r="L128" s="1913"/>
      <c r="M128" s="1915"/>
      <c r="N128" s="1917"/>
      <c r="O128" s="1919"/>
      <c r="P128" s="1891"/>
      <c r="Q128" s="1891"/>
      <c r="R128" s="1891"/>
      <c r="S128" s="1891"/>
      <c r="T128" s="1891"/>
      <c r="U128" s="1891"/>
      <c r="V128" s="1891"/>
      <c r="W128" s="1891"/>
      <c r="X128" s="1891"/>
      <c r="Y128" s="1891"/>
      <c r="Z128" s="1879"/>
      <c r="AA128" s="1880"/>
    </row>
    <row r="129" spans="1:27">
      <c r="A129" s="1899"/>
      <c r="B129" s="1922"/>
      <c r="C129" s="1923"/>
      <c r="D129" s="1923"/>
      <c r="E129" s="1923"/>
      <c r="F129" s="1924"/>
      <c r="G129" s="1924"/>
      <c r="H129" s="1924"/>
      <c r="I129" s="1924"/>
      <c r="J129" s="1909"/>
      <c r="K129" s="1909"/>
      <c r="L129" s="1913"/>
      <c r="M129" s="1915"/>
      <c r="N129" s="1917"/>
      <c r="O129" s="1919"/>
      <c r="P129" s="1891"/>
      <c r="Q129" s="1891"/>
      <c r="R129" s="1891"/>
      <c r="S129" s="1891"/>
      <c r="T129" s="1891"/>
      <c r="U129" s="1891"/>
      <c r="V129" s="1891"/>
      <c r="W129" s="1891"/>
      <c r="X129" s="1891"/>
      <c r="Y129" s="1891"/>
      <c r="Z129" s="1894"/>
      <c r="AA129" s="1895"/>
    </row>
    <row r="130" spans="1:27">
      <c r="A130" s="1900"/>
      <c r="B130" s="1869" t="s">
        <v>384</v>
      </c>
      <c r="C130" s="1870"/>
      <c r="D130" s="1870"/>
      <c r="E130" s="1870"/>
      <c r="F130" s="1870"/>
      <c r="G130" s="1870"/>
      <c r="H130" s="1870"/>
      <c r="I130" s="1925"/>
      <c r="J130" s="1910"/>
      <c r="K130" s="1909"/>
      <c r="L130" s="1913"/>
      <c r="M130" s="1930" t="s">
        <v>152</v>
      </c>
      <c r="N130" s="1942">
        <f>SUM(P130:Y133)</f>
        <v>283383</v>
      </c>
      <c r="O130" s="1919" t="s">
        <v>117</v>
      </c>
      <c r="P130" s="1892">
        <v>272883</v>
      </c>
      <c r="Q130" s="1892">
        <v>10500</v>
      </c>
      <c r="R130" s="1892">
        <v>0</v>
      </c>
      <c r="S130" s="1892">
        <v>0</v>
      </c>
      <c r="T130" s="1892">
        <v>0</v>
      </c>
      <c r="U130" s="1892">
        <v>0</v>
      </c>
      <c r="V130" s="1892">
        <v>0</v>
      </c>
      <c r="W130" s="1892">
        <v>0</v>
      </c>
      <c r="X130" s="1892">
        <v>0</v>
      </c>
      <c r="Y130" s="1892">
        <v>0</v>
      </c>
      <c r="Z130" s="1896"/>
      <c r="AA130" s="1897"/>
    </row>
    <row r="131" spans="1:27">
      <c r="A131" s="1900"/>
      <c r="B131" s="1926"/>
      <c r="C131" s="1927"/>
      <c r="D131" s="1927"/>
      <c r="E131" s="1927"/>
      <c r="F131" s="1927"/>
      <c r="G131" s="1927"/>
      <c r="H131" s="1927"/>
      <c r="I131" s="1928"/>
      <c r="J131" s="1910"/>
      <c r="K131" s="1909"/>
      <c r="L131" s="1913"/>
      <c r="M131" s="1930"/>
      <c r="N131" s="1919"/>
      <c r="O131" s="1919"/>
      <c r="P131" s="1892"/>
      <c r="Q131" s="1892"/>
      <c r="R131" s="1892"/>
      <c r="S131" s="1892"/>
      <c r="T131" s="1892"/>
      <c r="U131" s="1892"/>
      <c r="V131" s="1892"/>
      <c r="W131" s="1892"/>
      <c r="X131" s="1892"/>
      <c r="Y131" s="1892"/>
      <c r="Z131" s="1885"/>
      <c r="AA131" s="1886"/>
    </row>
    <row r="132" spans="1:27" ht="0.75" customHeight="1">
      <c r="A132" s="1900"/>
      <c r="B132" s="1926"/>
      <c r="C132" s="1927"/>
      <c r="D132" s="1927"/>
      <c r="E132" s="1927"/>
      <c r="F132" s="1927"/>
      <c r="G132" s="1927"/>
      <c r="H132" s="1927"/>
      <c r="I132" s="1928"/>
      <c r="J132" s="1910"/>
      <c r="K132" s="1909"/>
      <c r="L132" s="1931">
        <v>447117</v>
      </c>
      <c r="M132" s="1930"/>
      <c r="N132" s="1919"/>
      <c r="O132" s="1919"/>
      <c r="P132" s="1892"/>
      <c r="Q132" s="1892"/>
      <c r="R132" s="1892"/>
      <c r="S132" s="1892"/>
      <c r="T132" s="1892"/>
      <c r="U132" s="1892"/>
      <c r="V132" s="1892"/>
      <c r="W132" s="1892"/>
      <c r="X132" s="1892"/>
      <c r="Y132" s="1892"/>
      <c r="Z132" s="1885" t="s">
        <v>163</v>
      </c>
      <c r="AA132" s="1886">
        <f>P126</f>
        <v>272883</v>
      </c>
    </row>
    <row r="133" spans="1:27">
      <c r="A133" s="1900"/>
      <c r="B133" s="1873"/>
      <c r="C133" s="1874"/>
      <c r="D133" s="1874"/>
      <c r="E133" s="1874"/>
      <c r="F133" s="1874"/>
      <c r="G133" s="1874"/>
      <c r="H133" s="1874"/>
      <c r="I133" s="1929"/>
      <c r="J133" s="1910"/>
      <c r="K133" s="1909"/>
      <c r="L133" s="1931"/>
      <c r="M133" s="1930"/>
      <c r="N133" s="1919"/>
      <c r="O133" s="1919"/>
      <c r="P133" s="1892"/>
      <c r="Q133" s="1892"/>
      <c r="R133" s="1892"/>
      <c r="S133" s="1892"/>
      <c r="T133" s="1892"/>
      <c r="U133" s="1892"/>
      <c r="V133" s="1892"/>
      <c r="W133" s="1892"/>
      <c r="X133" s="1892"/>
      <c r="Y133" s="1892"/>
      <c r="Z133" s="1885"/>
      <c r="AA133" s="1886"/>
    </row>
    <row r="134" spans="1:27" ht="9" customHeight="1">
      <c r="A134" s="1900"/>
      <c r="B134" s="1933" t="s">
        <v>385</v>
      </c>
      <c r="C134" s="1934"/>
      <c r="D134" s="1934"/>
      <c r="E134" s="1934"/>
      <c r="F134" s="1934"/>
      <c r="G134" s="1934"/>
      <c r="H134" s="1934"/>
      <c r="I134" s="1935"/>
      <c r="J134" s="1909"/>
      <c r="K134" s="1909"/>
      <c r="L134" s="1931"/>
      <c r="M134" s="1939" t="s">
        <v>399</v>
      </c>
      <c r="N134" s="1942">
        <f>SUM(P134:Y137)</f>
        <v>0</v>
      </c>
      <c r="O134" s="1919" t="s">
        <v>117</v>
      </c>
      <c r="P134" s="1892">
        <v>0</v>
      </c>
      <c r="Q134" s="1892">
        <v>0</v>
      </c>
      <c r="R134" s="1892">
        <v>0</v>
      </c>
      <c r="S134" s="1892">
        <v>0</v>
      </c>
      <c r="T134" s="1892">
        <v>0</v>
      </c>
      <c r="U134" s="1892">
        <v>0</v>
      </c>
      <c r="V134" s="1892">
        <v>0</v>
      </c>
      <c r="W134" s="1892">
        <v>0</v>
      </c>
      <c r="X134" s="1892">
        <v>0</v>
      </c>
      <c r="Y134" s="1892">
        <v>0</v>
      </c>
      <c r="Z134" s="1885" t="s">
        <v>372</v>
      </c>
      <c r="AA134" s="1886">
        <f>Q126</f>
        <v>10500</v>
      </c>
    </row>
    <row r="135" spans="1:27" ht="11.25" customHeight="1">
      <c r="A135" s="1900"/>
      <c r="B135" s="1933"/>
      <c r="C135" s="1934"/>
      <c r="D135" s="1934"/>
      <c r="E135" s="1934"/>
      <c r="F135" s="1934"/>
      <c r="G135" s="1934"/>
      <c r="H135" s="1934"/>
      <c r="I135" s="1935"/>
      <c r="J135" s="1909"/>
      <c r="K135" s="1909"/>
      <c r="L135" s="1931"/>
      <c r="M135" s="1940"/>
      <c r="N135" s="1919"/>
      <c r="O135" s="1919"/>
      <c r="P135" s="1892"/>
      <c r="Q135" s="1892"/>
      <c r="R135" s="1892"/>
      <c r="S135" s="1892"/>
      <c r="T135" s="1892"/>
      <c r="U135" s="1892"/>
      <c r="V135" s="1892"/>
      <c r="W135" s="1892"/>
      <c r="X135" s="1892"/>
      <c r="Y135" s="1892"/>
      <c r="Z135" s="1885"/>
      <c r="AA135" s="1886"/>
    </row>
    <row r="136" spans="1:27" ht="10.5" customHeight="1">
      <c r="A136" s="1900"/>
      <c r="B136" s="1933"/>
      <c r="C136" s="1934"/>
      <c r="D136" s="1934"/>
      <c r="E136" s="1934"/>
      <c r="F136" s="1934"/>
      <c r="G136" s="1934"/>
      <c r="H136" s="1934"/>
      <c r="I136" s="1935"/>
      <c r="J136" s="1909"/>
      <c r="K136" s="1909"/>
      <c r="L136" s="1931"/>
      <c r="M136" s="1940"/>
      <c r="N136" s="1919"/>
      <c r="O136" s="1919"/>
      <c r="P136" s="1892"/>
      <c r="Q136" s="1892"/>
      <c r="R136" s="1892"/>
      <c r="S136" s="1892"/>
      <c r="T136" s="1892"/>
      <c r="U136" s="1892"/>
      <c r="V136" s="1892"/>
      <c r="W136" s="1892"/>
      <c r="X136" s="1892"/>
      <c r="Y136" s="1892"/>
      <c r="Z136" s="1887"/>
      <c r="AA136" s="1886"/>
    </row>
    <row r="137" spans="1:27" ht="21.75" customHeight="1" thickBot="1">
      <c r="A137" s="1901"/>
      <c r="B137" s="1936"/>
      <c r="C137" s="1937"/>
      <c r="D137" s="1937"/>
      <c r="E137" s="1937"/>
      <c r="F137" s="1937"/>
      <c r="G137" s="1937"/>
      <c r="H137" s="1937"/>
      <c r="I137" s="1938"/>
      <c r="J137" s="1911"/>
      <c r="K137" s="1911"/>
      <c r="L137" s="1932"/>
      <c r="M137" s="1941"/>
      <c r="N137" s="1920"/>
      <c r="O137" s="1920"/>
      <c r="P137" s="1893"/>
      <c r="Q137" s="1893"/>
      <c r="R137" s="1893"/>
      <c r="S137" s="1893"/>
      <c r="T137" s="1893"/>
      <c r="U137" s="1893"/>
      <c r="V137" s="1893"/>
      <c r="W137" s="1893"/>
      <c r="X137" s="1893"/>
      <c r="Y137" s="1893"/>
      <c r="Z137" s="1888"/>
      <c r="AA137" s="1886"/>
    </row>
    <row r="138" spans="1:27" ht="15" customHeight="1" thickTop="1" thickBot="1">
      <c r="A138" s="815"/>
      <c r="B138" s="816"/>
      <c r="C138" s="816"/>
      <c r="D138" s="816"/>
      <c r="E138" s="816"/>
      <c r="F138" s="816"/>
      <c r="G138" s="816"/>
      <c r="H138" s="816"/>
      <c r="I138" s="816"/>
      <c r="J138" s="817"/>
      <c r="K138" s="817"/>
      <c r="L138" s="825"/>
      <c r="M138" s="839"/>
      <c r="N138" s="817"/>
      <c r="O138" s="817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826"/>
      <c r="AA138" s="841"/>
    </row>
    <row r="139" spans="1:27" ht="13.5" thickTop="1">
      <c r="A139" s="1898">
        <v>8</v>
      </c>
      <c r="B139" s="1902" t="s">
        <v>106</v>
      </c>
      <c r="C139" s="1903"/>
      <c r="D139" s="1903">
        <v>852</v>
      </c>
      <c r="E139" s="1903"/>
      <c r="F139" s="1906" t="s">
        <v>159</v>
      </c>
      <c r="G139" s="1906"/>
      <c r="H139" s="1906"/>
      <c r="I139" s="1906"/>
      <c r="J139" s="1908">
        <v>2012</v>
      </c>
      <c r="K139" s="1908">
        <v>2015</v>
      </c>
      <c r="L139" s="1912">
        <v>957700</v>
      </c>
      <c r="M139" s="1914" t="s">
        <v>125</v>
      </c>
      <c r="N139" s="1916">
        <f>SUM(N143:N150)</f>
        <v>716915</v>
      </c>
      <c r="O139" s="1918" t="s">
        <v>117</v>
      </c>
      <c r="P139" s="1890">
        <f>SUM(P143:P150)</f>
        <v>351636</v>
      </c>
      <c r="Q139" s="1890">
        <f>SUM(Q143:Q150)</f>
        <v>350032</v>
      </c>
      <c r="R139" s="1890">
        <f>SUM(R143:R150)</f>
        <v>15247</v>
      </c>
      <c r="S139" s="1890">
        <f t="shared" ref="S139:Y139" si="9">SUM(S143:S150)</f>
        <v>0</v>
      </c>
      <c r="T139" s="1890">
        <f t="shared" si="9"/>
        <v>0</v>
      </c>
      <c r="U139" s="1890">
        <f t="shared" si="9"/>
        <v>0</v>
      </c>
      <c r="V139" s="1890">
        <f t="shared" si="9"/>
        <v>0</v>
      </c>
      <c r="W139" s="1890">
        <f t="shared" si="9"/>
        <v>0</v>
      </c>
      <c r="X139" s="1890">
        <f t="shared" si="9"/>
        <v>0</v>
      </c>
      <c r="Y139" s="1890">
        <f t="shared" si="9"/>
        <v>0</v>
      </c>
      <c r="Z139" s="1877">
        <f>SUM(AA143:AA150)</f>
        <v>716915</v>
      </c>
      <c r="AA139" s="1878"/>
    </row>
    <row r="140" spans="1:27">
      <c r="A140" s="1899"/>
      <c r="B140" s="1904"/>
      <c r="C140" s="1905"/>
      <c r="D140" s="1905"/>
      <c r="E140" s="1905"/>
      <c r="F140" s="1907"/>
      <c r="G140" s="1907"/>
      <c r="H140" s="1907"/>
      <c r="I140" s="1907"/>
      <c r="J140" s="1909"/>
      <c r="K140" s="1909"/>
      <c r="L140" s="1913"/>
      <c r="M140" s="1915"/>
      <c r="N140" s="1917"/>
      <c r="O140" s="1919"/>
      <c r="P140" s="1891"/>
      <c r="Q140" s="1891"/>
      <c r="R140" s="1891"/>
      <c r="S140" s="1891"/>
      <c r="T140" s="1891"/>
      <c r="U140" s="1891"/>
      <c r="V140" s="1891"/>
      <c r="W140" s="1891"/>
      <c r="X140" s="1891"/>
      <c r="Y140" s="1891"/>
      <c r="Z140" s="1879"/>
      <c r="AA140" s="1880"/>
    </row>
    <row r="141" spans="1:27">
      <c r="A141" s="1899"/>
      <c r="B141" s="1921" t="s">
        <v>112</v>
      </c>
      <c r="C141" s="1919"/>
      <c r="D141" s="1919">
        <v>85232</v>
      </c>
      <c r="E141" s="1919"/>
      <c r="F141" s="1907" t="s">
        <v>370</v>
      </c>
      <c r="G141" s="1907"/>
      <c r="H141" s="1907"/>
      <c r="I141" s="1907"/>
      <c r="J141" s="1909"/>
      <c r="K141" s="1909"/>
      <c r="L141" s="1913"/>
      <c r="M141" s="1915"/>
      <c r="N141" s="1917"/>
      <c r="O141" s="1919"/>
      <c r="P141" s="1891"/>
      <c r="Q141" s="1891"/>
      <c r="R141" s="1891"/>
      <c r="S141" s="1891"/>
      <c r="T141" s="1891"/>
      <c r="U141" s="1891"/>
      <c r="V141" s="1891"/>
      <c r="W141" s="1891"/>
      <c r="X141" s="1891"/>
      <c r="Y141" s="1891"/>
      <c r="Z141" s="1879"/>
      <c r="AA141" s="1880"/>
    </row>
    <row r="142" spans="1:27">
      <c r="A142" s="1899"/>
      <c r="B142" s="1922"/>
      <c r="C142" s="1923"/>
      <c r="D142" s="1923"/>
      <c r="E142" s="1923"/>
      <c r="F142" s="1924"/>
      <c r="G142" s="1924"/>
      <c r="H142" s="1924"/>
      <c r="I142" s="1924"/>
      <c r="J142" s="1909"/>
      <c r="K142" s="1909"/>
      <c r="L142" s="1913"/>
      <c r="M142" s="1915"/>
      <c r="N142" s="1917"/>
      <c r="O142" s="1919"/>
      <c r="P142" s="1891"/>
      <c r="Q142" s="1891"/>
      <c r="R142" s="1891"/>
      <c r="S142" s="1891"/>
      <c r="T142" s="1891"/>
      <c r="U142" s="1891"/>
      <c r="V142" s="1891"/>
      <c r="W142" s="1891"/>
      <c r="X142" s="1891"/>
      <c r="Y142" s="1891"/>
      <c r="Z142" s="1894"/>
      <c r="AA142" s="1895"/>
    </row>
    <row r="143" spans="1:27">
      <c r="A143" s="1900"/>
      <c r="B143" s="1869" t="s">
        <v>407</v>
      </c>
      <c r="C143" s="1870"/>
      <c r="D143" s="1870"/>
      <c r="E143" s="1870"/>
      <c r="F143" s="1870"/>
      <c r="G143" s="1870"/>
      <c r="H143" s="1870"/>
      <c r="I143" s="1925"/>
      <c r="J143" s="1910"/>
      <c r="K143" s="1909"/>
      <c r="L143" s="1913"/>
      <c r="M143" s="1930" t="s">
        <v>152</v>
      </c>
      <c r="N143" s="1942">
        <f>SUM(P143:Y146)</f>
        <v>609378</v>
      </c>
      <c r="O143" s="1919" t="s">
        <v>117</v>
      </c>
      <c r="P143" s="1892">
        <v>298891</v>
      </c>
      <c r="Q143" s="1892">
        <v>297527</v>
      </c>
      <c r="R143" s="1892">
        <v>12960</v>
      </c>
      <c r="S143" s="1892">
        <v>0</v>
      </c>
      <c r="T143" s="1892">
        <v>0</v>
      </c>
      <c r="U143" s="1892">
        <v>0</v>
      </c>
      <c r="V143" s="1892">
        <v>0</v>
      </c>
      <c r="W143" s="1892">
        <v>0</v>
      </c>
      <c r="X143" s="1892">
        <v>0</v>
      </c>
      <c r="Y143" s="1892">
        <v>0</v>
      </c>
      <c r="Z143" s="1896"/>
      <c r="AA143" s="1897"/>
    </row>
    <row r="144" spans="1:27">
      <c r="A144" s="1900"/>
      <c r="B144" s="1926"/>
      <c r="C144" s="1927"/>
      <c r="D144" s="1927"/>
      <c r="E144" s="1927"/>
      <c r="F144" s="1927"/>
      <c r="G144" s="1927"/>
      <c r="H144" s="1927"/>
      <c r="I144" s="1928"/>
      <c r="J144" s="1910"/>
      <c r="K144" s="1909"/>
      <c r="L144" s="1913"/>
      <c r="M144" s="1930"/>
      <c r="N144" s="1919"/>
      <c r="O144" s="1919"/>
      <c r="P144" s="1892"/>
      <c r="Q144" s="1892"/>
      <c r="R144" s="1892"/>
      <c r="S144" s="1892"/>
      <c r="T144" s="1892"/>
      <c r="U144" s="1892"/>
      <c r="V144" s="1892"/>
      <c r="W144" s="1892"/>
      <c r="X144" s="1892"/>
      <c r="Y144" s="1892"/>
      <c r="Z144" s="1885"/>
      <c r="AA144" s="1886"/>
    </row>
    <row r="145" spans="1:27">
      <c r="A145" s="1900"/>
      <c r="B145" s="1926"/>
      <c r="C145" s="1927"/>
      <c r="D145" s="1927"/>
      <c r="E145" s="1927"/>
      <c r="F145" s="1927"/>
      <c r="G145" s="1927"/>
      <c r="H145" s="1927"/>
      <c r="I145" s="1928"/>
      <c r="J145" s="1910"/>
      <c r="K145" s="1909"/>
      <c r="L145" s="1931">
        <v>240785</v>
      </c>
      <c r="M145" s="1930"/>
      <c r="N145" s="1919"/>
      <c r="O145" s="1919"/>
      <c r="P145" s="1892"/>
      <c r="Q145" s="1892"/>
      <c r="R145" s="1892"/>
      <c r="S145" s="1892"/>
      <c r="T145" s="1892"/>
      <c r="U145" s="1892"/>
      <c r="V145" s="1892"/>
      <c r="W145" s="1892"/>
      <c r="X145" s="1892"/>
      <c r="Y145" s="1892"/>
      <c r="Z145" s="1885" t="s">
        <v>163</v>
      </c>
      <c r="AA145" s="1886">
        <f>P139</f>
        <v>351636</v>
      </c>
    </row>
    <row r="146" spans="1:27">
      <c r="A146" s="1900"/>
      <c r="B146" s="1873"/>
      <c r="C146" s="1874"/>
      <c r="D146" s="1874"/>
      <c r="E146" s="1874"/>
      <c r="F146" s="1874"/>
      <c r="G146" s="1874"/>
      <c r="H146" s="1874"/>
      <c r="I146" s="1929"/>
      <c r="J146" s="1910"/>
      <c r="K146" s="1909"/>
      <c r="L146" s="1931"/>
      <c r="M146" s="1930"/>
      <c r="N146" s="1919"/>
      <c r="O146" s="1919"/>
      <c r="P146" s="1892"/>
      <c r="Q146" s="1892"/>
      <c r="R146" s="1892"/>
      <c r="S146" s="1892"/>
      <c r="T146" s="1892"/>
      <c r="U146" s="1892"/>
      <c r="V146" s="1892"/>
      <c r="W146" s="1892"/>
      <c r="X146" s="1892"/>
      <c r="Y146" s="1892"/>
      <c r="Z146" s="1885"/>
      <c r="AA146" s="1886"/>
    </row>
    <row r="147" spans="1:27">
      <c r="A147" s="1900"/>
      <c r="B147" s="1933" t="s">
        <v>371</v>
      </c>
      <c r="C147" s="1934"/>
      <c r="D147" s="1934"/>
      <c r="E147" s="1934"/>
      <c r="F147" s="1934"/>
      <c r="G147" s="1934"/>
      <c r="H147" s="1934"/>
      <c r="I147" s="1935"/>
      <c r="J147" s="1909"/>
      <c r="K147" s="1909"/>
      <c r="L147" s="1931"/>
      <c r="M147" s="1939" t="s">
        <v>404</v>
      </c>
      <c r="N147" s="1942">
        <f>SUM(P147:Y150)</f>
        <v>107537</v>
      </c>
      <c r="O147" s="1919" t="s">
        <v>117</v>
      </c>
      <c r="P147" s="1892">
        <v>52745</v>
      </c>
      <c r="Q147" s="1892">
        <v>52505</v>
      </c>
      <c r="R147" s="1892">
        <v>2287</v>
      </c>
      <c r="S147" s="1892">
        <v>0</v>
      </c>
      <c r="T147" s="1892">
        <v>0</v>
      </c>
      <c r="U147" s="1892">
        <v>0</v>
      </c>
      <c r="V147" s="1892">
        <v>0</v>
      </c>
      <c r="W147" s="1892">
        <v>0</v>
      </c>
      <c r="X147" s="1892">
        <v>0</v>
      </c>
      <c r="Y147" s="1892">
        <v>0</v>
      </c>
      <c r="Z147" s="1885" t="s">
        <v>372</v>
      </c>
      <c r="AA147" s="1886">
        <f>Q139</f>
        <v>350032</v>
      </c>
    </row>
    <row r="148" spans="1:27">
      <c r="A148" s="1900"/>
      <c r="B148" s="1933"/>
      <c r="C148" s="1934"/>
      <c r="D148" s="1934"/>
      <c r="E148" s="1934"/>
      <c r="F148" s="1934"/>
      <c r="G148" s="1934"/>
      <c r="H148" s="1934"/>
      <c r="I148" s="1935"/>
      <c r="J148" s="1909"/>
      <c r="K148" s="1909"/>
      <c r="L148" s="1931"/>
      <c r="M148" s="1940"/>
      <c r="N148" s="1919"/>
      <c r="O148" s="1919"/>
      <c r="P148" s="1892"/>
      <c r="Q148" s="1892"/>
      <c r="R148" s="1892"/>
      <c r="S148" s="1892"/>
      <c r="T148" s="1892"/>
      <c r="U148" s="1892"/>
      <c r="V148" s="1892"/>
      <c r="W148" s="1892"/>
      <c r="X148" s="1892"/>
      <c r="Y148" s="1892"/>
      <c r="Z148" s="1885"/>
      <c r="AA148" s="1886"/>
    </row>
    <row r="149" spans="1:27">
      <c r="A149" s="1900"/>
      <c r="B149" s="1933"/>
      <c r="C149" s="1934"/>
      <c r="D149" s="1934"/>
      <c r="E149" s="1934"/>
      <c r="F149" s="1934"/>
      <c r="G149" s="1934"/>
      <c r="H149" s="1934"/>
      <c r="I149" s="1935"/>
      <c r="J149" s="1909"/>
      <c r="K149" s="1909"/>
      <c r="L149" s="1931"/>
      <c r="M149" s="1940"/>
      <c r="N149" s="1919"/>
      <c r="O149" s="1919"/>
      <c r="P149" s="1892"/>
      <c r="Q149" s="1892"/>
      <c r="R149" s="1892"/>
      <c r="S149" s="1892"/>
      <c r="T149" s="1892"/>
      <c r="U149" s="1892"/>
      <c r="V149" s="1892"/>
      <c r="W149" s="1892"/>
      <c r="X149" s="1892"/>
      <c r="Y149" s="1892"/>
      <c r="Z149" s="1885" t="s">
        <v>373</v>
      </c>
      <c r="AA149" s="1886">
        <f>R139</f>
        <v>15247</v>
      </c>
    </row>
    <row r="150" spans="1:27" ht="13.5" thickBot="1">
      <c r="A150" s="1901"/>
      <c r="B150" s="1936"/>
      <c r="C150" s="1937"/>
      <c r="D150" s="1937"/>
      <c r="E150" s="1937"/>
      <c r="F150" s="1937"/>
      <c r="G150" s="1937"/>
      <c r="H150" s="1937"/>
      <c r="I150" s="1938"/>
      <c r="J150" s="1911"/>
      <c r="K150" s="1911"/>
      <c r="L150" s="1932"/>
      <c r="M150" s="1941"/>
      <c r="N150" s="1920"/>
      <c r="O150" s="1920"/>
      <c r="P150" s="1893"/>
      <c r="Q150" s="1893"/>
      <c r="R150" s="1893"/>
      <c r="S150" s="1893"/>
      <c r="T150" s="1893"/>
      <c r="U150" s="1893"/>
      <c r="V150" s="1893"/>
      <c r="W150" s="1893"/>
      <c r="X150" s="1893"/>
      <c r="Y150" s="1893"/>
      <c r="Z150" s="1946"/>
      <c r="AA150" s="1886"/>
    </row>
    <row r="151" spans="1:27" ht="7.5" customHeight="1" thickTop="1" thickBot="1">
      <c r="A151" s="815"/>
      <c r="B151" s="816"/>
      <c r="C151" s="816"/>
      <c r="D151" s="816"/>
      <c r="E151" s="816"/>
      <c r="F151" s="816"/>
      <c r="G151" s="816"/>
      <c r="H151" s="816"/>
      <c r="I151" s="816"/>
      <c r="J151" s="817"/>
      <c r="K151" s="817"/>
      <c r="L151" s="828"/>
      <c r="M151" s="840"/>
      <c r="N151" s="817"/>
      <c r="O151" s="817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826"/>
      <c r="AA151" s="841"/>
    </row>
    <row r="152" spans="1:27" ht="13.5" thickTop="1">
      <c r="A152" s="1898">
        <v>9</v>
      </c>
      <c r="B152" s="1902" t="s">
        <v>106</v>
      </c>
      <c r="C152" s="1903"/>
      <c r="D152" s="1903">
        <v>852</v>
      </c>
      <c r="E152" s="1903"/>
      <c r="F152" s="1906" t="s">
        <v>159</v>
      </c>
      <c r="G152" s="1906"/>
      <c r="H152" s="1906"/>
      <c r="I152" s="1906"/>
      <c r="J152" s="1908">
        <v>2012</v>
      </c>
      <c r="K152" s="1908">
        <v>2013</v>
      </c>
      <c r="L152" s="1912">
        <v>847799</v>
      </c>
      <c r="M152" s="1914" t="s">
        <v>125</v>
      </c>
      <c r="N152" s="1916">
        <f>SUM(N156:N163)</f>
        <v>511859</v>
      </c>
      <c r="O152" s="1918" t="s">
        <v>117</v>
      </c>
      <c r="P152" s="1890">
        <f>SUM(P156:P163)</f>
        <v>511859</v>
      </c>
      <c r="Q152" s="1890">
        <f>SUM(Q156:Q163)</f>
        <v>0</v>
      </c>
      <c r="R152" s="1890">
        <f>SUM(R156:R163)</f>
        <v>0</v>
      </c>
      <c r="S152" s="1890">
        <f t="shared" ref="S152:Y152" si="10">SUM(S156:S163)</f>
        <v>0</v>
      </c>
      <c r="T152" s="1890">
        <f t="shared" si="10"/>
        <v>0</v>
      </c>
      <c r="U152" s="1890">
        <f t="shared" si="10"/>
        <v>0</v>
      </c>
      <c r="V152" s="1890">
        <f t="shared" si="10"/>
        <v>0</v>
      </c>
      <c r="W152" s="1890">
        <f t="shared" si="10"/>
        <v>0</v>
      </c>
      <c r="X152" s="1890">
        <f t="shared" si="10"/>
        <v>0</v>
      </c>
      <c r="Y152" s="1890">
        <f t="shared" si="10"/>
        <v>0</v>
      </c>
      <c r="Z152" s="1877">
        <f>SUM(AA156:AA163)</f>
        <v>511859</v>
      </c>
      <c r="AA152" s="1878"/>
    </row>
    <row r="153" spans="1:27">
      <c r="A153" s="1899"/>
      <c r="B153" s="1904"/>
      <c r="C153" s="1905"/>
      <c r="D153" s="1905"/>
      <c r="E153" s="1905"/>
      <c r="F153" s="1907"/>
      <c r="G153" s="1907"/>
      <c r="H153" s="1907"/>
      <c r="I153" s="1907"/>
      <c r="J153" s="1909"/>
      <c r="K153" s="1909"/>
      <c r="L153" s="1913"/>
      <c r="M153" s="1915"/>
      <c r="N153" s="1917"/>
      <c r="O153" s="1919"/>
      <c r="P153" s="1891"/>
      <c r="Q153" s="1891"/>
      <c r="R153" s="1891"/>
      <c r="S153" s="1891"/>
      <c r="T153" s="1891"/>
      <c r="U153" s="1891"/>
      <c r="V153" s="1891"/>
      <c r="W153" s="1891"/>
      <c r="X153" s="1891"/>
      <c r="Y153" s="1891"/>
      <c r="Z153" s="1879"/>
      <c r="AA153" s="1880"/>
    </row>
    <row r="154" spans="1:27">
      <c r="A154" s="1899"/>
      <c r="B154" s="1921" t="s">
        <v>112</v>
      </c>
      <c r="C154" s="1919"/>
      <c r="D154" s="1919">
        <v>85295</v>
      </c>
      <c r="E154" s="1919"/>
      <c r="F154" s="1907" t="s">
        <v>139</v>
      </c>
      <c r="G154" s="1907"/>
      <c r="H154" s="1907"/>
      <c r="I154" s="1907"/>
      <c r="J154" s="1909"/>
      <c r="K154" s="1909"/>
      <c r="L154" s="1913"/>
      <c r="M154" s="1915"/>
      <c r="N154" s="1917"/>
      <c r="O154" s="1919"/>
      <c r="P154" s="1891"/>
      <c r="Q154" s="1891"/>
      <c r="R154" s="1891"/>
      <c r="S154" s="1891"/>
      <c r="T154" s="1891"/>
      <c r="U154" s="1891"/>
      <c r="V154" s="1891"/>
      <c r="W154" s="1891"/>
      <c r="X154" s="1891"/>
      <c r="Y154" s="1891"/>
      <c r="Z154" s="1879"/>
      <c r="AA154" s="1880"/>
    </row>
    <row r="155" spans="1:27">
      <c r="A155" s="1899"/>
      <c r="B155" s="1922"/>
      <c r="C155" s="1923"/>
      <c r="D155" s="1923"/>
      <c r="E155" s="1923"/>
      <c r="F155" s="1924"/>
      <c r="G155" s="1924"/>
      <c r="H155" s="1924"/>
      <c r="I155" s="1924"/>
      <c r="J155" s="1909"/>
      <c r="K155" s="1909"/>
      <c r="L155" s="1913"/>
      <c r="M155" s="1915"/>
      <c r="N155" s="1917"/>
      <c r="O155" s="1919"/>
      <c r="P155" s="1891"/>
      <c r="Q155" s="1891"/>
      <c r="R155" s="1891"/>
      <c r="S155" s="1891"/>
      <c r="T155" s="1891"/>
      <c r="U155" s="1891"/>
      <c r="V155" s="1891"/>
      <c r="W155" s="1891"/>
      <c r="X155" s="1891"/>
      <c r="Y155" s="1891"/>
      <c r="Z155" s="1894"/>
      <c r="AA155" s="1895"/>
    </row>
    <row r="156" spans="1:27">
      <c r="A156" s="1900"/>
      <c r="B156" s="1869" t="s">
        <v>391</v>
      </c>
      <c r="C156" s="1870"/>
      <c r="D156" s="1870"/>
      <c r="E156" s="1870"/>
      <c r="F156" s="1870"/>
      <c r="G156" s="1870"/>
      <c r="H156" s="1870"/>
      <c r="I156" s="1925"/>
      <c r="J156" s="1910"/>
      <c r="K156" s="1909"/>
      <c r="L156" s="1913"/>
      <c r="M156" s="1930" t="s">
        <v>152</v>
      </c>
      <c r="N156" s="1942">
        <f>SUM(P156:Y159)</f>
        <v>435080.15</v>
      </c>
      <c r="O156" s="1919" t="s">
        <v>117</v>
      </c>
      <c r="P156" s="1892">
        <v>435080.15</v>
      </c>
      <c r="Q156" s="1892">
        <v>0</v>
      </c>
      <c r="R156" s="1892">
        <v>0</v>
      </c>
      <c r="S156" s="1892">
        <v>0</v>
      </c>
      <c r="T156" s="1892">
        <v>0</v>
      </c>
      <c r="U156" s="1892">
        <v>0</v>
      </c>
      <c r="V156" s="1892">
        <v>0</v>
      </c>
      <c r="W156" s="1892">
        <v>0</v>
      </c>
      <c r="X156" s="1892">
        <v>0</v>
      </c>
      <c r="Y156" s="1892">
        <v>0</v>
      </c>
      <c r="Z156" s="1896"/>
      <c r="AA156" s="1897"/>
    </row>
    <row r="157" spans="1:27">
      <c r="A157" s="1900"/>
      <c r="B157" s="1926"/>
      <c r="C157" s="1927"/>
      <c r="D157" s="1927"/>
      <c r="E157" s="1927"/>
      <c r="F157" s="1927"/>
      <c r="G157" s="1927"/>
      <c r="H157" s="1927"/>
      <c r="I157" s="1928"/>
      <c r="J157" s="1910"/>
      <c r="K157" s="1909"/>
      <c r="L157" s="1913"/>
      <c r="M157" s="1930"/>
      <c r="N157" s="1919"/>
      <c r="O157" s="1919"/>
      <c r="P157" s="1892"/>
      <c r="Q157" s="1892"/>
      <c r="R157" s="1892"/>
      <c r="S157" s="1892"/>
      <c r="T157" s="1892"/>
      <c r="U157" s="1892"/>
      <c r="V157" s="1892"/>
      <c r="W157" s="1892"/>
      <c r="X157" s="1892"/>
      <c r="Y157" s="1892"/>
      <c r="Z157" s="1885"/>
      <c r="AA157" s="1886"/>
    </row>
    <row r="158" spans="1:27" ht="9.75" customHeight="1">
      <c r="A158" s="1900"/>
      <c r="B158" s="1926"/>
      <c r="C158" s="1927"/>
      <c r="D158" s="1927"/>
      <c r="E158" s="1927"/>
      <c r="F158" s="1927"/>
      <c r="G158" s="1927"/>
      <c r="H158" s="1927"/>
      <c r="I158" s="1928"/>
      <c r="J158" s="1910"/>
      <c r="K158" s="1909"/>
      <c r="L158" s="1931">
        <v>335940</v>
      </c>
      <c r="M158" s="1930"/>
      <c r="N158" s="1919"/>
      <c r="O158" s="1919"/>
      <c r="P158" s="1892"/>
      <c r="Q158" s="1892"/>
      <c r="R158" s="1892"/>
      <c r="S158" s="1892"/>
      <c r="T158" s="1892"/>
      <c r="U158" s="1892"/>
      <c r="V158" s="1892"/>
      <c r="W158" s="1892"/>
      <c r="X158" s="1892"/>
      <c r="Y158" s="1892"/>
      <c r="Z158" s="1885" t="s">
        <v>163</v>
      </c>
      <c r="AA158" s="1886">
        <f>P152</f>
        <v>511859</v>
      </c>
    </row>
    <row r="159" spans="1:27" ht="8.25" customHeight="1">
      <c r="A159" s="1900"/>
      <c r="B159" s="1873"/>
      <c r="C159" s="1874"/>
      <c r="D159" s="1874"/>
      <c r="E159" s="1874"/>
      <c r="F159" s="1874"/>
      <c r="G159" s="1874"/>
      <c r="H159" s="1874"/>
      <c r="I159" s="1929"/>
      <c r="J159" s="1910"/>
      <c r="K159" s="1909"/>
      <c r="L159" s="1931"/>
      <c r="M159" s="1930"/>
      <c r="N159" s="1919"/>
      <c r="O159" s="1919"/>
      <c r="P159" s="1892"/>
      <c r="Q159" s="1892"/>
      <c r="R159" s="1892"/>
      <c r="S159" s="1892"/>
      <c r="T159" s="1892"/>
      <c r="U159" s="1892"/>
      <c r="V159" s="1892"/>
      <c r="W159" s="1892"/>
      <c r="X159" s="1892"/>
      <c r="Y159" s="1892"/>
      <c r="Z159" s="1885"/>
      <c r="AA159" s="1886"/>
    </row>
    <row r="160" spans="1:27">
      <c r="A160" s="1900"/>
      <c r="B160" s="1933" t="s">
        <v>392</v>
      </c>
      <c r="C160" s="1934"/>
      <c r="D160" s="1934"/>
      <c r="E160" s="1934"/>
      <c r="F160" s="1934"/>
      <c r="G160" s="1934"/>
      <c r="H160" s="1934"/>
      <c r="I160" s="1935"/>
      <c r="J160" s="1909"/>
      <c r="K160" s="1909"/>
      <c r="L160" s="1931"/>
      <c r="M160" s="1939" t="s">
        <v>403</v>
      </c>
      <c r="N160" s="1942">
        <f>SUM(P160:Y163)</f>
        <v>76778.850000000006</v>
      </c>
      <c r="O160" s="1919" t="s">
        <v>117</v>
      </c>
      <c r="P160" s="1892">
        <v>76778.850000000006</v>
      </c>
      <c r="Q160" s="1892">
        <v>0</v>
      </c>
      <c r="R160" s="1892">
        <v>0</v>
      </c>
      <c r="S160" s="1892">
        <v>0</v>
      </c>
      <c r="T160" s="1892">
        <v>0</v>
      </c>
      <c r="U160" s="1892">
        <v>0</v>
      </c>
      <c r="V160" s="1892">
        <v>0</v>
      </c>
      <c r="W160" s="1892">
        <v>0</v>
      </c>
      <c r="X160" s="1892">
        <v>0</v>
      </c>
      <c r="Y160" s="1892">
        <v>0</v>
      </c>
      <c r="Z160" s="1885" t="s">
        <v>372</v>
      </c>
      <c r="AA160" s="1886">
        <f>Q152</f>
        <v>0</v>
      </c>
    </row>
    <row r="161" spans="1:27">
      <c r="A161" s="1900"/>
      <c r="B161" s="1933"/>
      <c r="C161" s="1934"/>
      <c r="D161" s="1934"/>
      <c r="E161" s="1934"/>
      <c r="F161" s="1934"/>
      <c r="G161" s="1934"/>
      <c r="H161" s="1934"/>
      <c r="I161" s="1935"/>
      <c r="J161" s="1909"/>
      <c r="K161" s="1909"/>
      <c r="L161" s="1931"/>
      <c r="M161" s="1940"/>
      <c r="N161" s="1919"/>
      <c r="O161" s="1919"/>
      <c r="P161" s="1892"/>
      <c r="Q161" s="1892"/>
      <c r="R161" s="1892"/>
      <c r="S161" s="1892"/>
      <c r="T161" s="1892"/>
      <c r="U161" s="1892"/>
      <c r="V161" s="1892"/>
      <c r="W161" s="1892"/>
      <c r="X161" s="1892"/>
      <c r="Y161" s="1892"/>
      <c r="Z161" s="1885"/>
      <c r="AA161" s="1886"/>
    </row>
    <row r="162" spans="1:27">
      <c r="A162" s="1900"/>
      <c r="B162" s="1933"/>
      <c r="C162" s="1934"/>
      <c r="D162" s="1934"/>
      <c r="E162" s="1934"/>
      <c r="F162" s="1934"/>
      <c r="G162" s="1934"/>
      <c r="H162" s="1934"/>
      <c r="I162" s="1935"/>
      <c r="J162" s="1909"/>
      <c r="K162" s="1909"/>
      <c r="L162" s="1931"/>
      <c r="M162" s="1940"/>
      <c r="N162" s="1919"/>
      <c r="O162" s="1919"/>
      <c r="P162" s="1892"/>
      <c r="Q162" s="1892"/>
      <c r="R162" s="1892"/>
      <c r="S162" s="1892"/>
      <c r="T162" s="1892"/>
      <c r="U162" s="1892"/>
      <c r="V162" s="1892"/>
      <c r="W162" s="1892"/>
      <c r="X162" s="1892"/>
      <c r="Y162" s="1892"/>
      <c r="Z162" s="1885" t="s">
        <v>373</v>
      </c>
      <c r="AA162" s="1886">
        <f>R152</f>
        <v>0</v>
      </c>
    </row>
    <row r="163" spans="1:27" ht="11.25" customHeight="1" thickBot="1">
      <c r="A163" s="1901"/>
      <c r="B163" s="1936"/>
      <c r="C163" s="1937"/>
      <c r="D163" s="1937"/>
      <c r="E163" s="1937"/>
      <c r="F163" s="1937"/>
      <c r="G163" s="1937"/>
      <c r="H163" s="1937"/>
      <c r="I163" s="1938"/>
      <c r="J163" s="1911"/>
      <c r="K163" s="1911"/>
      <c r="L163" s="1932"/>
      <c r="M163" s="1941"/>
      <c r="N163" s="1920"/>
      <c r="O163" s="1920"/>
      <c r="P163" s="1893"/>
      <c r="Q163" s="1893"/>
      <c r="R163" s="1893"/>
      <c r="S163" s="1893"/>
      <c r="T163" s="1893"/>
      <c r="U163" s="1893"/>
      <c r="V163" s="1893"/>
      <c r="W163" s="1893"/>
      <c r="X163" s="1893"/>
      <c r="Y163" s="1893"/>
      <c r="Z163" s="1946"/>
      <c r="AA163" s="1947"/>
    </row>
    <row r="164" spans="1:27" ht="11.25" customHeight="1" thickTop="1" thickBot="1">
      <c r="A164" s="820"/>
      <c r="B164" s="821"/>
      <c r="C164" s="821"/>
      <c r="D164" s="821"/>
      <c r="E164" s="821"/>
      <c r="F164" s="821"/>
      <c r="G164" s="821"/>
      <c r="H164" s="821"/>
      <c r="I164" s="821"/>
      <c r="J164" s="822"/>
      <c r="K164" s="822"/>
      <c r="L164" s="828"/>
      <c r="M164" s="840"/>
      <c r="N164" s="822"/>
      <c r="O164" s="822"/>
      <c r="P164" s="658"/>
      <c r="Q164" s="658"/>
      <c r="R164" s="658"/>
      <c r="S164" s="658"/>
      <c r="T164" s="658"/>
      <c r="U164" s="658"/>
      <c r="V164" s="658"/>
      <c r="W164" s="658"/>
      <c r="X164" s="658"/>
      <c r="Y164" s="658"/>
      <c r="Z164" s="826"/>
      <c r="AA164" s="827"/>
    </row>
    <row r="165" spans="1:27" ht="11.25" customHeight="1" thickTop="1">
      <c r="A165" s="1898">
        <v>10</v>
      </c>
      <c r="B165" s="1902" t="s">
        <v>106</v>
      </c>
      <c r="C165" s="1903"/>
      <c r="D165" s="1958" t="s">
        <v>174</v>
      </c>
      <c r="E165" s="1959"/>
      <c r="F165" s="1960"/>
      <c r="G165" s="1960"/>
      <c r="H165" s="1960"/>
      <c r="I165" s="1961"/>
      <c r="J165" s="1908">
        <v>2012</v>
      </c>
      <c r="K165" s="1908">
        <v>2013</v>
      </c>
      <c r="L165" s="1912">
        <f>SUM(N165,L171)</f>
        <v>4824800</v>
      </c>
      <c r="M165" s="1914" t="s">
        <v>125</v>
      </c>
      <c r="N165" s="1916">
        <f>SUM(N169:N176)</f>
        <v>4824800</v>
      </c>
      <c r="O165" s="1918" t="s">
        <v>117</v>
      </c>
      <c r="P165" s="1890">
        <f>SUM(P169:P176)</f>
        <v>4824800</v>
      </c>
      <c r="Q165" s="1890">
        <f>SUM(Q169:Q176)</f>
        <v>0</v>
      </c>
      <c r="R165" s="1890">
        <f>SUM(R169:R176)</f>
        <v>0</v>
      </c>
      <c r="S165" s="1890">
        <f t="shared" ref="S165:Y165" si="11">SUM(S169:S176)</f>
        <v>0</v>
      </c>
      <c r="T165" s="1890">
        <f t="shared" si="11"/>
        <v>0</v>
      </c>
      <c r="U165" s="1890">
        <f t="shared" si="11"/>
        <v>0</v>
      </c>
      <c r="V165" s="1890">
        <f t="shared" si="11"/>
        <v>0</v>
      </c>
      <c r="W165" s="1890">
        <f t="shared" si="11"/>
        <v>0</v>
      </c>
      <c r="X165" s="1890">
        <f t="shared" si="11"/>
        <v>0</v>
      </c>
      <c r="Y165" s="1890">
        <f t="shared" si="11"/>
        <v>0</v>
      </c>
      <c r="Z165" s="1877">
        <f>SUM(AA169:AA176)</f>
        <v>4824800</v>
      </c>
      <c r="AA165" s="1878"/>
    </row>
    <row r="166" spans="1:27" ht="11.25" customHeight="1">
      <c r="A166" s="1899"/>
      <c r="B166" s="1904"/>
      <c r="C166" s="1905"/>
      <c r="D166" s="1962"/>
      <c r="E166" s="1963"/>
      <c r="F166" s="1964"/>
      <c r="G166" s="1964"/>
      <c r="H166" s="1964"/>
      <c r="I166" s="1965"/>
      <c r="J166" s="1909"/>
      <c r="K166" s="1909"/>
      <c r="L166" s="1913"/>
      <c r="M166" s="1915"/>
      <c r="N166" s="1917"/>
      <c r="O166" s="1919"/>
      <c r="P166" s="1891"/>
      <c r="Q166" s="1891"/>
      <c r="R166" s="1891"/>
      <c r="S166" s="1891"/>
      <c r="T166" s="1891"/>
      <c r="U166" s="1891"/>
      <c r="V166" s="1891"/>
      <c r="W166" s="1891"/>
      <c r="X166" s="1891"/>
      <c r="Y166" s="1891"/>
      <c r="Z166" s="1879"/>
      <c r="AA166" s="1880"/>
    </row>
    <row r="167" spans="1:27" ht="11.25" customHeight="1">
      <c r="A167" s="1899"/>
      <c r="B167" s="1921" t="s">
        <v>112</v>
      </c>
      <c r="C167" s="1919"/>
      <c r="D167" s="1966"/>
      <c r="E167" s="1964"/>
      <c r="F167" s="1964"/>
      <c r="G167" s="1964"/>
      <c r="H167" s="1964"/>
      <c r="I167" s="1965"/>
      <c r="J167" s="1909"/>
      <c r="K167" s="1909"/>
      <c r="L167" s="1913"/>
      <c r="M167" s="1915"/>
      <c r="N167" s="1917"/>
      <c r="O167" s="1919"/>
      <c r="P167" s="1891"/>
      <c r="Q167" s="1891"/>
      <c r="R167" s="1891"/>
      <c r="S167" s="1891"/>
      <c r="T167" s="1891"/>
      <c r="U167" s="1891"/>
      <c r="V167" s="1891"/>
      <c r="W167" s="1891"/>
      <c r="X167" s="1891"/>
      <c r="Y167" s="1891"/>
      <c r="Z167" s="1879"/>
      <c r="AA167" s="1880"/>
    </row>
    <row r="168" spans="1:27" ht="11.25" customHeight="1">
      <c r="A168" s="1899"/>
      <c r="B168" s="1922"/>
      <c r="C168" s="1923"/>
      <c r="D168" s="1967"/>
      <c r="E168" s="1968"/>
      <c r="F168" s="1968"/>
      <c r="G168" s="1968"/>
      <c r="H168" s="1968"/>
      <c r="I168" s="1969"/>
      <c r="J168" s="1909"/>
      <c r="K168" s="1909"/>
      <c r="L168" s="1913"/>
      <c r="M168" s="1915"/>
      <c r="N168" s="1917"/>
      <c r="O168" s="1919"/>
      <c r="P168" s="1891"/>
      <c r="Q168" s="1891"/>
      <c r="R168" s="1891"/>
      <c r="S168" s="1891"/>
      <c r="T168" s="1891"/>
      <c r="U168" s="1891"/>
      <c r="V168" s="1891"/>
      <c r="W168" s="1891"/>
      <c r="X168" s="1891"/>
      <c r="Y168" s="1891"/>
      <c r="Z168" s="1894"/>
      <c r="AA168" s="1895"/>
    </row>
    <row r="169" spans="1:27" ht="16.5" customHeight="1">
      <c r="A169" s="1900"/>
      <c r="B169" s="1869" t="s">
        <v>422</v>
      </c>
      <c r="C169" s="1870"/>
      <c r="D169" s="1870"/>
      <c r="E169" s="1870"/>
      <c r="F169" s="1870"/>
      <c r="G169" s="1870"/>
      <c r="H169" s="1870"/>
      <c r="I169" s="1925"/>
      <c r="J169" s="1910"/>
      <c r="K169" s="1909"/>
      <c r="L169" s="1913"/>
      <c r="M169" s="1930" t="s">
        <v>152</v>
      </c>
      <c r="N169" s="1942">
        <f>SUM(P169:Y172)</f>
        <v>0</v>
      </c>
      <c r="O169" s="1919" t="s">
        <v>117</v>
      </c>
      <c r="P169" s="1892">
        <v>0</v>
      </c>
      <c r="Q169" s="1892">
        <v>0</v>
      </c>
      <c r="R169" s="1892">
        <v>0</v>
      </c>
      <c r="S169" s="1892">
        <v>0</v>
      </c>
      <c r="T169" s="1892">
        <v>0</v>
      </c>
      <c r="U169" s="1892">
        <v>0</v>
      </c>
      <c r="V169" s="1892">
        <v>0</v>
      </c>
      <c r="W169" s="1892">
        <v>0</v>
      </c>
      <c r="X169" s="1892">
        <v>0</v>
      </c>
      <c r="Y169" s="1892">
        <v>0</v>
      </c>
      <c r="Z169" s="1896"/>
      <c r="AA169" s="1897"/>
    </row>
    <row r="170" spans="1:27" ht="15" customHeight="1">
      <c r="A170" s="1900"/>
      <c r="B170" s="1926"/>
      <c r="C170" s="1927"/>
      <c r="D170" s="1927"/>
      <c r="E170" s="1927"/>
      <c r="F170" s="1927"/>
      <c r="G170" s="1927"/>
      <c r="H170" s="1927"/>
      <c r="I170" s="1928"/>
      <c r="J170" s="1910"/>
      <c r="K170" s="1909"/>
      <c r="L170" s="1913"/>
      <c r="M170" s="1930"/>
      <c r="N170" s="1919"/>
      <c r="O170" s="1919"/>
      <c r="P170" s="1892"/>
      <c r="Q170" s="1892"/>
      <c r="R170" s="1892"/>
      <c r="S170" s="1892"/>
      <c r="T170" s="1892"/>
      <c r="U170" s="1892"/>
      <c r="V170" s="1892"/>
      <c r="W170" s="1892"/>
      <c r="X170" s="1892"/>
      <c r="Y170" s="1892"/>
      <c r="Z170" s="1885"/>
      <c r="AA170" s="1886"/>
    </row>
    <row r="171" spans="1:27" ht="1.5" hidden="1" customHeight="1">
      <c r="A171" s="1900"/>
      <c r="B171" s="1926"/>
      <c r="C171" s="1927"/>
      <c r="D171" s="1927"/>
      <c r="E171" s="1927"/>
      <c r="F171" s="1927"/>
      <c r="G171" s="1927"/>
      <c r="H171" s="1927"/>
      <c r="I171" s="1928"/>
      <c r="J171" s="1910"/>
      <c r="K171" s="1909"/>
      <c r="L171" s="1931">
        <v>0</v>
      </c>
      <c r="M171" s="1930"/>
      <c r="N171" s="1919"/>
      <c r="O171" s="1919"/>
      <c r="P171" s="1892"/>
      <c r="Q171" s="1892"/>
      <c r="R171" s="1892"/>
      <c r="S171" s="1892"/>
      <c r="T171" s="1892"/>
      <c r="U171" s="1892"/>
      <c r="V171" s="1892"/>
      <c r="W171" s="1892"/>
      <c r="X171" s="1892"/>
      <c r="Y171" s="1892"/>
      <c r="Z171" s="1885" t="s">
        <v>163</v>
      </c>
      <c r="AA171" s="1886">
        <f>P165</f>
        <v>4824800</v>
      </c>
    </row>
    <row r="172" spans="1:27" ht="17.25" customHeight="1">
      <c r="A172" s="1900"/>
      <c r="B172" s="1873"/>
      <c r="C172" s="1874"/>
      <c r="D172" s="1874"/>
      <c r="E172" s="1874"/>
      <c r="F172" s="1874"/>
      <c r="G172" s="1874"/>
      <c r="H172" s="1874"/>
      <c r="I172" s="1929"/>
      <c r="J172" s="1910"/>
      <c r="K172" s="1909"/>
      <c r="L172" s="1931"/>
      <c r="M172" s="1930"/>
      <c r="N172" s="1919"/>
      <c r="O172" s="1919"/>
      <c r="P172" s="1892"/>
      <c r="Q172" s="1892"/>
      <c r="R172" s="1892"/>
      <c r="S172" s="1892"/>
      <c r="T172" s="1892"/>
      <c r="U172" s="1892"/>
      <c r="V172" s="1892"/>
      <c r="W172" s="1892"/>
      <c r="X172" s="1892"/>
      <c r="Y172" s="1892"/>
      <c r="Z172" s="1885"/>
      <c r="AA172" s="1886"/>
    </row>
    <row r="173" spans="1:27" ht="11.25" customHeight="1">
      <c r="A173" s="1900"/>
      <c r="B173" s="1933" t="s">
        <v>423</v>
      </c>
      <c r="C173" s="1934"/>
      <c r="D173" s="1934"/>
      <c r="E173" s="1934"/>
      <c r="F173" s="1934"/>
      <c r="G173" s="1934"/>
      <c r="H173" s="1934"/>
      <c r="I173" s="1935"/>
      <c r="J173" s="1909"/>
      <c r="K173" s="1909"/>
      <c r="L173" s="1931"/>
      <c r="M173" s="1939" t="s">
        <v>129</v>
      </c>
      <c r="N173" s="1942">
        <f>SUM(P173:Y176)</f>
        <v>4824800</v>
      </c>
      <c r="O173" s="1919" t="s">
        <v>117</v>
      </c>
      <c r="P173" s="1892">
        <v>4824800</v>
      </c>
      <c r="Q173" s="1892">
        <v>0</v>
      </c>
      <c r="R173" s="1892">
        <v>0</v>
      </c>
      <c r="S173" s="1892">
        <v>0</v>
      </c>
      <c r="T173" s="1892">
        <v>0</v>
      </c>
      <c r="U173" s="1892">
        <v>0</v>
      </c>
      <c r="V173" s="1892">
        <v>0</v>
      </c>
      <c r="W173" s="1892">
        <v>0</v>
      </c>
      <c r="X173" s="1892">
        <v>0</v>
      </c>
      <c r="Y173" s="1892">
        <v>0</v>
      </c>
      <c r="Z173" s="1885"/>
      <c r="AA173" s="1886"/>
    </row>
    <row r="174" spans="1:27" ht="11.25" customHeight="1">
      <c r="A174" s="1900"/>
      <c r="B174" s="1933"/>
      <c r="C174" s="1934"/>
      <c r="D174" s="1934"/>
      <c r="E174" s="1934"/>
      <c r="F174" s="1934"/>
      <c r="G174" s="1934"/>
      <c r="H174" s="1934"/>
      <c r="I174" s="1935"/>
      <c r="J174" s="1909"/>
      <c r="K174" s="1909"/>
      <c r="L174" s="1931"/>
      <c r="M174" s="1940"/>
      <c r="N174" s="1919"/>
      <c r="O174" s="1919"/>
      <c r="P174" s="1892"/>
      <c r="Q174" s="1892"/>
      <c r="R174" s="1892"/>
      <c r="S174" s="1892"/>
      <c r="T174" s="1892"/>
      <c r="U174" s="1892"/>
      <c r="V174" s="1892"/>
      <c r="W174" s="1892"/>
      <c r="X174" s="1892"/>
      <c r="Y174" s="1892"/>
      <c r="Z174" s="1885"/>
      <c r="AA174" s="1886"/>
    </row>
    <row r="175" spans="1:27" ht="11.25" customHeight="1">
      <c r="A175" s="1900"/>
      <c r="B175" s="1933"/>
      <c r="C175" s="1934"/>
      <c r="D175" s="1934"/>
      <c r="E175" s="1934"/>
      <c r="F175" s="1934"/>
      <c r="G175" s="1934"/>
      <c r="H175" s="1934"/>
      <c r="I175" s="1935"/>
      <c r="J175" s="1909"/>
      <c r="K175" s="1909"/>
      <c r="L175" s="1931"/>
      <c r="M175" s="1940"/>
      <c r="N175" s="1919"/>
      <c r="O175" s="1919"/>
      <c r="P175" s="1892"/>
      <c r="Q175" s="1892"/>
      <c r="R175" s="1892"/>
      <c r="S175" s="1892"/>
      <c r="T175" s="1892"/>
      <c r="U175" s="1892"/>
      <c r="V175" s="1892"/>
      <c r="W175" s="1892"/>
      <c r="X175" s="1892"/>
      <c r="Y175" s="1892"/>
      <c r="Z175" s="1887"/>
      <c r="AA175" s="1886"/>
    </row>
    <row r="176" spans="1:27" ht="17.25" customHeight="1" thickBot="1">
      <c r="A176" s="1901"/>
      <c r="B176" s="1936"/>
      <c r="C176" s="1937"/>
      <c r="D176" s="1937"/>
      <c r="E176" s="1937"/>
      <c r="F176" s="1937"/>
      <c r="G176" s="1937"/>
      <c r="H176" s="1937"/>
      <c r="I176" s="1938"/>
      <c r="J176" s="1911"/>
      <c r="K176" s="1911"/>
      <c r="L176" s="1932"/>
      <c r="M176" s="1941"/>
      <c r="N176" s="1920"/>
      <c r="O176" s="1920"/>
      <c r="P176" s="1893"/>
      <c r="Q176" s="1893"/>
      <c r="R176" s="1893"/>
      <c r="S176" s="1893"/>
      <c r="T176" s="1893"/>
      <c r="U176" s="1893"/>
      <c r="V176" s="1893"/>
      <c r="W176" s="1893"/>
      <c r="X176" s="1893"/>
      <c r="Y176" s="1893"/>
      <c r="Z176" s="1888"/>
      <c r="AA176" s="1889"/>
    </row>
    <row r="177" spans="1:27" ht="24.75" customHeight="1" thickTop="1" thickBot="1">
      <c r="A177" s="820"/>
      <c r="B177" s="821"/>
      <c r="C177" s="821"/>
      <c r="D177" s="821"/>
      <c r="E177" s="821"/>
      <c r="F177" s="821"/>
      <c r="G177" s="821"/>
      <c r="H177" s="821"/>
      <c r="I177" s="821"/>
      <c r="J177" s="822"/>
      <c r="K177" s="822"/>
      <c r="L177" s="828"/>
      <c r="M177" s="840"/>
      <c r="N177" s="822"/>
      <c r="O177" s="822"/>
      <c r="P177" s="658"/>
      <c r="Q177" s="658"/>
      <c r="R177" s="658"/>
      <c r="S177" s="658"/>
      <c r="T177" s="658"/>
      <c r="U177" s="658"/>
      <c r="V177" s="658"/>
      <c r="W177" s="658"/>
      <c r="X177" s="658"/>
      <c r="Y177" s="658"/>
      <c r="Z177" s="826"/>
      <c r="AA177" s="827"/>
    </row>
    <row r="178" spans="1:27" ht="11.25" customHeight="1" thickTop="1">
      <c r="A178" s="1898">
        <v>11</v>
      </c>
      <c r="B178" s="1902" t="s">
        <v>106</v>
      </c>
      <c r="C178" s="1903"/>
      <c r="D178" s="1903">
        <v>600</v>
      </c>
      <c r="E178" s="1903"/>
      <c r="F178" s="1906" t="s">
        <v>130</v>
      </c>
      <c r="G178" s="1906"/>
      <c r="H178" s="1906"/>
      <c r="I178" s="1906"/>
      <c r="J178" s="1908">
        <v>2013</v>
      </c>
      <c r="K178" s="1908">
        <v>2014</v>
      </c>
      <c r="L178" s="1912">
        <f>SUM(N178,L184)</f>
        <v>2993000</v>
      </c>
      <c r="M178" s="1914" t="s">
        <v>125</v>
      </c>
      <c r="N178" s="1916">
        <f>SUM(N182:N189)</f>
        <v>2993000</v>
      </c>
      <c r="O178" s="1918" t="s">
        <v>117</v>
      </c>
      <c r="P178" s="1890">
        <f>SUM(P182:P189)</f>
        <v>533000</v>
      </c>
      <c r="Q178" s="1890">
        <f>SUM(Q182:Q189)</f>
        <v>2460000</v>
      </c>
      <c r="R178" s="1890">
        <f>SUM(R182:R189)</f>
        <v>0</v>
      </c>
      <c r="S178" s="1890">
        <f t="shared" ref="S178:Y178" si="12">SUM(S182:S189)</f>
        <v>0</v>
      </c>
      <c r="T178" s="1890">
        <f t="shared" si="12"/>
        <v>0</v>
      </c>
      <c r="U178" s="1890">
        <f t="shared" si="12"/>
        <v>0</v>
      </c>
      <c r="V178" s="1890">
        <f t="shared" si="12"/>
        <v>0</v>
      </c>
      <c r="W178" s="1890">
        <f t="shared" si="12"/>
        <v>0</v>
      </c>
      <c r="X178" s="1890">
        <f t="shared" si="12"/>
        <v>0</v>
      </c>
      <c r="Y178" s="1890">
        <f t="shared" si="12"/>
        <v>0</v>
      </c>
      <c r="Z178" s="1877">
        <f>SUM(AA182:AA189)</f>
        <v>2993000</v>
      </c>
      <c r="AA178" s="1878"/>
    </row>
    <row r="179" spans="1:27" ht="11.25" customHeight="1">
      <c r="A179" s="1899"/>
      <c r="B179" s="1904"/>
      <c r="C179" s="1905"/>
      <c r="D179" s="1905"/>
      <c r="E179" s="1905"/>
      <c r="F179" s="1907"/>
      <c r="G179" s="1907"/>
      <c r="H179" s="1907"/>
      <c r="I179" s="1907"/>
      <c r="J179" s="1909"/>
      <c r="K179" s="1909"/>
      <c r="L179" s="1913"/>
      <c r="M179" s="1915"/>
      <c r="N179" s="1917"/>
      <c r="O179" s="1919"/>
      <c r="P179" s="1891"/>
      <c r="Q179" s="1891"/>
      <c r="R179" s="1891"/>
      <c r="S179" s="1891"/>
      <c r="T179" s="1891"/>
      <c r="U179" s="1891"/>
      <c r="V179" s="1891"/>
      <c r="W179" s="1891"/>
      <c r="X179" s="1891"/>
      <c r="Y179" s="1891"/>
      <c r="Z179" s="1879"/>
      <c r="AA179" s="1880"/>
    </row>
    <row r="180" spans="1:27" ht="11.25" customHeight="1">
      <c r="A180" s="1899"/>
      <c r="B180" s="1921" t="s">
        <v>112</v>
      </c>
      <c r="C180" s="1919"/>
      <c r="D180" s="1970" t="s">
        <v>411</v>
      </c>
      <c r="E180" s="1971"/>
      <c r="F180" s="1972"/>
      <c r="G180" s="1972"/>
      <c r="H180" s="1972"/>
      <c r="I180" s="1973"/>
      <c r="J180" s="1909"/>
      <c r="K180" s="1909"/>
      <c r="L180" s="1913"/>
      <c r="M180" s="1915"/>
      <c r="N180" s="1917"/>
      <c r="O180" s="1919"/>
      <c r="P180" s="1891"/>
      <c r="Q180" s="1891"/>
      <c r="R180" s="1891"/>
      <c r="S180" s="1891"/>
      <c r="T180" s="1891"/>
      <c r="U180" s="1891"/>
      <c r="V180" s="1891"/>
      <c r="W180" s="1891"/>
      <c r="X180" s="1891"/>
      <c r="Y180" s="1891"/>
      <c r="Z180" s="1879"/>
      <c r="AA180" s="1880"/>
    </row>
    <row r="181" spans="1:27" ht="11.25" customHeight="1">
      <c r="A181" s="1899"/>
      <c r="B181" s="1922"/>
      <c r="C181" s="1923"/>
      <c r="D181" s="1974"/>
      <c r="E181" s="1975"/>
      <c r="F181" s="1976"/>
      <c r="G181" s="1976"/>
      <c r="H181" s="1976"/>
      <c r="I181" s="1977"/>
      <c r="J181" s="1909"/>
      <c r="K181" s="1909"/>
      <c r="L181" s="1913"/>
      <c r="M181" s="1915"/>
      <c r="N181" s="1917"/>
      <c r="O181" s="1919"/>
      <c r="P181" s="1891"/>
      <c r="Q181" s="1891"/>
      <c r="R181" s="1891"/>
      <c r="S181" s="1891"/>
      <c r="T181" s="1891"/>
      <c r="U181" s="1891"/>
      <c r="V181" s="1891"/>
      <c r="W181" s="1891"/>
      <c r="X181" s="1891"/>
      <c r="Y181" s="1891"/>
      <c r="Z181" s="1894"/>
      <c r="AA181" s="1895"/>
    </row>
    <row r="182" spans="1:27" ht="11.25" customHeight="1">
      <c r="A182" s="1900"/>
      <c r="B182" s="1869" t="s">
        <v>412</v>
      </c>
      <c r="C182" s="1870"/>
      <c r="D182" s="1870"/>
      <c r="E182" s="1870"/>
      <c r="F182" s="1870"/>
      <c r="G182" s="1870"/>
      <c r="H182" s="1870"/>
      <c r="I182" s="1925"/>
      <c r="J182" s="1910"/>
      <c r="K182" s="1909"/>
      <c r="L182" s="1913"/>
      <c r="M182" s="1930" t="s">
        <v>152</v>
      </c>
      <c r="N182" s="1942">
        <f>SUM(P182:Y185)</f>
        <v>0</v>
      </c>
      <c r="O182" s="1919" t="s">
        <v>117</v>
      </c>
      <c r="P182" s="1892">
        <v>0</v>
      </c>
      <c r="Q182" s="1892">
        <v>0</v>
      </c>
      <c r="R182" s="1892">
        <v>0</v>
      </c>
      <c r="S182" s="1892">
        <v>0</v>
      </c>
      <c r="T182" s="1892">
        <v>0</v>
      </c>
      <c r="U182" s="1892">
        <v>0</v>
      </c>
      <c r="V182" s="1892">
        <v>0</v>
      </c>
      <c r="W182" s="1892">
        <v>0</v>
      </c>
      <c r="X182" s="1892">
        <v>0</v>
      </c>
      <c r="Y182" s="1892">
        <v>0</v>
      </c>
      <c r="Z182" s="1896"/>
      <c r="AA182" s="1897"/>
    </row>
    <row r="183" spans="1:27" ht="11.25" customHeight="1">
      <c r="A183" s="1900"/>
      <c r="B183" s="1926"/>
      <c r="C183" s="1927"/>
      <c r="D183" s="1927"/>
      <c r="E183" s="1927"/>
      <c r="F183" s="1927"/>
      <c r="G183" s="1927"/>
      <c r="H183" s="1927"/>
      <c r="I183" s="1928"/>
      <c r="J183" s="1910"/>
      <c r="K183" s="1909"/>
      <c r="L183" s="1913"/>
      <c r="M183" s="1930"/>
      <c r="N183" s="1919"/>
      <c r="O183" s="1919"/>
      <c r="P183" s="1892"/>
      <c r="Q183" s="1892"/>
      <c r="R183" s="1892"/>
      <c r="S183" s="1892"/>
      <c r="T183" s="1892"/>
      <c r="U183" s="1892"/>
      <c r="V183" s="1892"/>
      <c r="W183" s="1892"/>
      <c r="X183" s="1892"/>
      <c r="Y183" s="1892"/>
      <c r="Z183" s="1885"/>
      <c r="AA183" s="1886"/>
    </row>
    <row r="184" spans="1:27" ht="11.25" customHeight="1">
      <c r="A184" s="1900"/>
      <c r="B184" s="1926"/>
      <c r="C184" s="1927"/>
      <c r="D184" s="1927"/>
      <c r="E184" s="1927"/>
      <c r="F184" s="1927"/>
      <c r="G184" s="1927"/>
      <c r="H184" s="1927"/>
      <c r="I184" s="1928"/>
      <c r="J184" s="1910"/>
      <c r="K184" s="1909"/>
      <c r="L184" s="1931">
        <v>0</v>
      </c>
      <c r="M184" s="1930"/>
      <c r="N184" s="1919"/>
      <c r="O184" s="1919"/>
      <c r="P184" s="1892"/>
      <c r="Q184" s="1892"/>
      <c r="R184" s="1892"/>
      <c r="S184" s="1892"/>
      <c r="T184" s="1892"/>
      <c r="U184" s="1892"/>
      <c r="V184" s="1892"/>
      <c r="W184" s="1892"/>
      <c r="X184" s="1892"/>
      <c r="Y184" s="1892"/>
      <c r="Z184" s="1885" t="s">
        <v>163</v>
      </c>
      <c r="AA184" s="1886">
        <f>P178</f>
        <v>533000</v>
      </c>
    </row>
    <row r="185" spans="1:27" ht="11.25" customHeight="1">
      <c r="A185" s="1900"/>
      <c r="B185" s="1873"/>
      <c r="C185" s="1874"/>
      <c r="D185" s="1874"/>
      <c r="E185" s="1874"/>
      <c r="F185" s="1874"/>
      <c r="G185" s="1874"/>
      <c r="H185" s="1874"/>
      <c r="I185" s="1929"/>
      <c r="J185" s="1910"/>
      <c r="K185" s="1909"/>
      <c r="L185" s="1931"/>
      <c r="M185" s="1930"/>
      <c r="N185" s="1919"/>
      <c r="O185" s="1919"/>
      <c r="P185" s="1892"/>
      <c r="Q185" s="1892"/>
      <c r="R185" s="1892"/>
      <c r="S185" s="1892"/>
      <c r="T185" s="1892"/>
      <c r="U185" s="1892"/>
      <c r="V185" s="1892"/>
      <c r="W185" s="1892"/>
      <c r="X185" s="1892"/>
      <c r="Y185" s="1892"/>
      <c r="Z185" s="1885"/>
      <c r="AA185" s="1886"/>
    </row>
    <row r="186" spans="1:27" ht="11.25" customHeight="1">
      <c r="A186" s="1900"/>
      <c r="B186" s="1933" t="s">
        <v>396</v>
      </c>
      <c r="C186" s="1934"/>
      <c r="D186" s="1934"/>
      <c r="E186" s="1934"/>
      <c r="F186" s="1934"/>
      <c r="G186" s="1934"/>
      <c r="H186" s="1934"/>
      <c r="I186" s="1935"/>
      <c r="J186" s="1909"/>
      <c r="K186" s="1909"/>
      <c r="L186" s="1931"/>
      <c r="M186" s="1939" t="s">
        <v>129</v>
      </c>
      <c r="N186" s="1942">
        <f>SUM(P186:Y189)</f>
        <v>2993000</v>
      </c>
      <c r="O186" s="1919" t="s">
        <v>117</v>
      </c>
      <c r="P186" s="1892">
        <v>533000</v>
      </c>
      <c r="Q186" s="1892">
        <v>2460000</v>
      </c>
      <c r="R186" s="1892">
        <v>0</v>
      </c>
      <c r="S186" s="1892">
        <v>0</v>
      </c>
      <c r="T186" s="1892">
        <v>0</v>
      </c>
      <c r="U186" s="1892">
        <v>0</v>
      </c>
      <c r="V186" s="1892">
        <v>0</v>
      </c>
      <c r="W186" s="1892">
        <v>0</v>
      </c>
      <c r="X186" s="1892">
        <v>0</v>
      </c>
      <c r="Y186" s="1892">
        <v>0</v>
      </c>
      <c r="Z186" s="1885" t="s">
        <v>372</v>
      </c>
      <c r="AA186" s="1886">
        <f>Q178</f>
        <v>2460000</v>
      </c>
    </row>
    <row r="187" spans="1:27" ht="11.25" customHeight="1">
      <c r="A187" s="1900"/>
      <c r="B187" s="1933"/>
      <c r="C187" s="1934"/>
      <c r="D187" s="1934"/>
      <c r="E187" s="1934"/>
      <c r="F187" s="1934"/>
      <c r="G187" s="1934"/>
      <c r="H187" s="1934"/>
      <c r="I187" s="1935"/>
      <c r="J187" s="1909"/>
      <c r="K187" s="1909"/>
      <c r="L187" s="1931"/>
      <c r="M187" s="1940"/>
      <c r="N187" s="1919"/>
      <c r="O187" s="1919"/>
      <c r="P187" s="1892"/>
      <c r="Q187" s="1892"/>
      <c r="R187" s="1892"/>
      <c r="S187" s="1892"/>
      <c r="T187" s="1892"/>
      <c r="U187" s="1892"/>
      <c r="V187" s="1892"/>
      <c r="W187" s="1892"/>
      <c r="X187" s="1892"/>
      <c r="Y187" s="1892"/>
      <c r="Z187" s="1885"/>
      <c r="AA187" s="1886"/>
    </row>
    <row r="188" spans="1:27" ht="11.25" customHeight="1">
      <c r="A188" s="1900"/>
      <c r="B188" s="1933"/>
      <c r="C188" s="1934"/>
      <c r="D188" s="1934"/>
      <c r="E188" s="1934"/>
      <c r="F188" s="1934"/>
      <c r="G188" s="1934"/>
      <c r="H188" s="1934"/>
      <c r="I188" s="1935"/>
      <c r="J188" s="1909"/>
      <c r="K188" s="1909"/>
      <c r="L188" s="1931"/>
      <c r="M188" s="1940"/>
      <c r="N188" s="1919"/>
      <c r="O188" s="1919"/>
      <c r="P188" s="1892"/>
      <c r="Q188" s="1892"/>
      <c r="R188" s="1892"/>
      <c r="S188" s="1892"/>
      <c r="T188" s="1892"/>
      <c r="U188" s="1892"/>
      <c r="V188" s="1892"/>
      <c r="W188" s="1892"/>
      <c r="X188" s="1892"/>
      <c r="Y188" s="1892"/>
      <c r="Z188" s="1887"/>
      <c r="AA188" s="1886"/>
    </row>
    <row r="189" spans="1:27" ht="11.25" customHeight="1" thickBot="1">
      <c r="A189" s="1901"/>
      <c r="B189" s="1936"/>
      <c r="C189" s="1937"/>
      <c r="D189" s="1937"/>
      <c r="E189" s="1937"/>
      <c r="F189" s="1937"/>
      <c r="G189" s="1937"/>
      <c r="H189" s="1937"/>
      <c r="I189" s="1938"/>
      <c r="J189" s="1911"/>
      <c r="K189" s="1911"/>
      <c r="L189" s="1932"/>
      <c r="M189" s="1941"/>
      <c r="N189" s="1920"/>
      <c r="O189" s="1920"/>
      <c r="P189" s="1893"/>
      <c r="Q189" s="1893"/>
      <c r="R189" s="1893"/>
      <c r="S189" s="1893"/>
      <c r="T189" s="1893"/>
      <c r="U189" s="1893"/>
      <c r="V189" s="1893"/>
      <c r="W189" s="1893"/>
      <c r="X189" s="1893"/>
      <c r="Y189" s="1893"/>
      <c r="Z189" s="1888"/>
      <c r="AA189" s="1889"/>
    </row>
    <row r="190" spans="1:27" ht="23.25" customHeight="1" thickTop="1" thickBot="1">
      <c r="A190" s="844"/>
      <c r="B190" s="845"/>
      <c r="C190" s="845"/>
      <c r="D190" s="845"/>
      <c r="E190" s="845"/>
      <c r="F190" s="845"/>
      <c r="G190" s="845"/>
      <c r="H190" s="845"/>
      <c r="I190" s="845"/>
      <c r="J190" s="846"/>
      <c r="K190" s="846"/>
      <c r="L190" s="825"/>
      <c r="M190" s="839"/>
      <c r="N190" s="846"/>
      <c r="O190" s="846"/>
      <c r="P190" s="658"/>
      <c r="Q190" s="658"/>
      <c r="R190" s="658"/>
      <c r="S190" s="658"/>
      <c r="T190" s="658"/>
      <c r="U190" s="658"/>
      <c r="V190" s="658"/>
      <c r="W190" s="658"/>
      <c r="X190" s="658"/>
      <c r="Y190" s="658"/>
      <c r="Z190" s="826"/>
      <c r="AA190" s="644"/>
    </row>
    <row r="191" spans="1:27" ht="11.25" customHeight="1" thickTop="1">
      <c r="A191" s="1898">
        <v>12</v>
      </c>
      <c r="B191" s="1902" t="s">
        <v>106</v>
      </c>
      <c r="C191" s="1903"/>
      <c r="D191" s="1903">
        <v>900</v>
      </c>
      <c r="E191" s="1903"/>
      <c r="F191" s="1906" t="s">
        <v>393</v>
      </c>
      <c r="G191" s="1906"/>
      <c r="H191" s="1906"/>
      <c r="I191" s="1906"/>
      <c r="J191" s="1908">
        <v>2013</v>
      </c>
      <c r="K191" s="1908">
        <v>2014</v>
      </c>
      <c r="L191" s="1912">
        <f>SUM(N191,L197)</f>
        <v>2458000</v>
      </c>
      <c r="M191" s="1914" t="s">
        <v>125</v>
      </c>
      <c r="N191" s="1916">
        <f>SUM(N195:N202)</f>
        <v>2458000</v>
      </c>
      <c r="O191" s="1918" t="s">
        <v>117</v>
      </c>
      <c r="P191" s="1890">
        <f>SUM(P195:P202)</f>
        <v>161000</v>
      </c>
      <c r="Q191" s="1890">
        <f>SUM(Q195:Q202)</f>
        <v>2297000</v>
      </c>
      <c r="R191" s="1890">
        <f>SUM(R195:R202)</f>
        <v>0</v>
      </c>
      <c r="S191" s="1890">
        <f t="shared" ref="S191:Y191" si="13">SUM(S195:S202)</f>
        <v>0</v>
      </c>
      <c r="T191" s="1890">
        <f t="shared" si="13"/>
        <v>0</v>
      </c>
      <c r="U191" s="1890">
        <f t="shared" si="13"/>
        <v>0</v>
      </c>
      <c r="V191" s="1890">
        <f t="shared" si="13"/>
        <v>0</v>
      </c>
      <c r="W191" s="1890">
        <f t="shared" si="13"/>
        <v>0</v>
      </c>
      <c r="X191" s="1890">
        <f t="shared" si="13"/>
        <v>0</v>
      </c>
      <c r="Y191" s="1890">
        <f t="shared" si="13"/>
        <v>0</v>
      </c>
      <c r="Z191" s="1877">
        <f>SUM(AA195:AA202)</f>
        <v>2458000</v>
      </c>
      <c r="AA191" s="1878"/>
    </row>
    <row r="192" spans="1:27" ht="11.25" customHeight="1">
      <c r="A192" s="1899"/>
      <c r="B192" s="1904"/>
      <c r="C192" s="1905"/>
      <c r="D192" s="1905"/>
      <c r="E192" s="1905"/>
      <c r="F192" s="1907"/>
      <c r="G192" s="1907"/>
      <c r="H192" s="1907"/>
      <c r="I192" s="1907"/>
      <c r="J192" s="1909"/>
      <c r="K192" s="1909"/>
      <c r="L192" s="1913"/>
      <c r="M192" s="1915"/>
      <c r="N192" s="1917"/>
      <c r="O192" s="1919"/>
      <c r="P192" s="1891"/>
      <c r="Q192" s="1891"/>
      <c r="R192" s="1891"/>
      <c r="S192" s="1891"/>
      <c r="T192" s="1891"/>
      <c r="U192" s="1891"/>
      <c r="V192" s="1891"/>
      <c r="W192" s="1891"/>
      <c r="X192" s="1891"/>
      <c r="Y192" s="1891"/>
      <c r="Z192" s="1879"/>
      <c r="AA192" s="1880"/>
    </row>
    <row r="193" spans="1:27" ht="11.25" customHeight="1">
      <c r="A193" s="1899"/>
      <c r="B193" s="1921" t="s">
        <v>112</v>
      </c>
      <c r="C193" s="1919"/>
      <c r="D193" s="1919">
        <v>90003</v>
      </c>
      <c r="E193" s="1919"/>
      <c r="F193" s="1907" t="s">
        <v>394</v>
      </c>
      <c r="G193" s="1907"/>
      <c r="H193" s="1907"/>
      <c r="I193" s="1907"/>
      <c r="J193" s="1909"/>
      <c r="K193" s="1909"/>
      <c r="L193" s="1913"/>
      <c r="M193" s="1915"/>
      <c r="N193" s="1917"/>
      <c r="O193" s="1919"/>
      <c r="P193" s="1891"/>
      <c r="Q193" s="1891"/>
      <c r="R193" s="1891"/>
      <c r="S193" s="1891"/>
      <c r="T193" s="1891"/>
      <c r="U193" s="1891"/>
      <c r="V193" s="1891"/>
      <c r="W193" s="1891"/>
      <c r="X193" s="1891"/>
      <c r="Y193" s="1891"/>
      <c r="Z193" s="1879"/>
      <c r="AA193" s="1880"/>
    </row>
    <row r="194" spans="1:27" ht="11.25" customHeight="1">
      <c r="A194" s="1899"/>
      <c r="B194" s="1922"/>
      <c r="C194" s="1923"/>
      <c r="D194" s="1923"/>
      <c r="E194" s="1923"/>
      <c r="F194" s="1924"/>
      <c r="G194" s="1924"/>
      <c r="H194" s="1924"/>
      <c r="I194" s="1924"/>
      <c r="J194" s="1909"/>
      <c r="K194" s="1909"/>
      <c r="L194" s="1913"/>
      <c r="M194" s="1915"/>
      <c r="N194" s="1917"/>
      <c r="O194" s="1919"/>
      <c r="P194" s="1891"/>
      <c r="Q194" s="1891"/>
      <c r="R194" s="1891"/>
      <c r="S194" s="1891"/>
      <c r="T194" s="1891"/>
      <c r="U194" s="1891"/>
      <c r="V194" s="1891"/>
      <c r="W194" s="1891"/>
      <c r="X194" s="1891"/>
      <c r="Y194" s="1891"/>
      <c r="Z194" s="1894"/>
      <c r="AA194" s="1895"/>
    </row>
    <row r="195" spans="1:27" ht="11.25" customHeight="1">
      <c r="A195" s="1900"/>
      <c r="B195" s="1869" t="s">
        <v>395</v>
      </c>
      <c r="C195" s="1870"/>
      <c r="D195" s="1870"/>
      <c r="E195" s="1870"/>
      <c r="F195" s="1870"/>
      <c r="G195" s="1870"/>
      <c r="H195" s="1870"/>
      <c r="I195" s="1925"/>
      <c r="J195" s="1910"/>
      <c r="K195" s="1909"/>
      <c r="L195" s="1913"/>
      <c r="M195" s="1930" t="s">
        <v>152</v>
      </c>
      <c r="N195" s="1942">
        <f>SUM(P195:Y198)</f>
        <v>0</v>
      </c>
      <c r="O195" s="1919" t="s">
        <v>117</v>
      </c>
      <c r="P195" s="1892"/>
      <c r="Q195" s="1892">
        <v>0</v>
      </c>
      <c r="R195" s="1892">
        <v>0</v>
      </c>
      <c r="S195" s="1892">
        <v>0</v>
      </c>
      <c r="T195" s="1892">
        <v>0</v>
      </c>
      <c r="U195" s="1892">
        <v>0</v>
      </c>
      <c r="V195" s="1892">
        <v>0</v>
      </c>
      <c r="W195" s="1892">
        <v>0</v>
      </c>
      <c r="X195" s="1892">
        <v>0</v>
      </c>
      <c r="Y195" s="1892">
        <v>0</v>
      </c>
      <c r="Z195" s="1896"/>
      <c r="AA195" s="1897"/>
    </row>
    <row r="196" spans="1:27" ht="11.25" customHeight="1">
      <c r="A196" s="1900"/>
      <c r="B196" s="1926"/>
      <c r="C196" s="1927"/>
      <c r="D196" s="1927"/>
      <c r="E196" s="1927"/>
      <c r="F196" s="1927"/>
      <c r="G196" s="1927"/>
      <c r="H196" s="1927"/>
      <c r="I196" s="1928"/>
      <c r="J196" s="1910"/>
      <c r="K196" s="1909"/>
      <c r="L196" s="1913"/>
      <c r="M196" s="1930"/>
      <c r="N196" s="1919"/>
      <c r="O196" s="1919"/>
      <c r="P196" s="1892"/>
      <c r="Q196" s="1892"/>
      <c r="R196" s="1892"/>
      <c r="S196" s="1892"/>
      <c r="T196" s="1892"/>
      <c r="U196" s="1892"/>
      <c r="V196" s="1892"/>
      <c r="W196" s="1892"/>
      <c r="X196" s="1892"/>
      <c r="Y196" s="1892"/>
      <c r="Z196" s="1885"/>
      <c r="AA196" s="1886"/>
    </row>
    <row r="197" spans="1:27" ht="11.25" customHeight="1">
      <c r="A197" s="1900"/>
      <c r="B197" s="1926"/>
      <c r="C197" s="1927"/>
      <c r="D197" s="1927"/>
      <c r="E197" s="1927"/>
      <c r="F197" s="1927"/>
      <c r="G197" s="1927"/>
      <c r="H197" s="1927"/>
      <c r="I197" s="1928"/>
      <c r="J197" s="1910"/>
      <c r="K197" s="1909"/>
      <c r="L197" s="1931">
        <v>0</v>
      </c>
      <c r="M197" s="1930"/>
      <c r="N197" s="1919"/>
      <c r="O197" s="1919"/>
      <c r="P197" s="1892"/>
      <c r="Q197" s="1892"/>
      <c r="R197" s="1892"/>
      <c r="S197" s="1892"/>
      <c r="T197" s="1892"/>
      <c r="U197" s="1892"/>
      <c r="V197" s="1892"/>
      <c r="W197" s="1892"/>
      <c r="X197" s="1892"/>
      <c r="Y197" s="1892"/>
      <c r="Z197" s="1885" t="s">
        <v>163</v>
      </c>
      <c r="AA197" s="1886">
        <f>P191</f>
        <v>161000</v>
      </c>
    </row>
    <row r="198" spans="1:27" ht="11.25" customHeight="1">
      <c r="A198" s="1900"/>
      <c r="B198" s="1873"/>
      <c r="C198" s="1874"/>
      <c r="D198" s="1874"/>
      <c r="E198" s="1874"/>
      <c r="F198" s="1874"/>
      <c r="G198" s="1874"/>
      <c r="H198" s="1874"/>
      <c r="I198" s="1929"/>
      <c r="J198" s="1910"/>
      <c r="K198" s="1909"/>
      <c r="L198" s="1931"/>
      <c r="M198" s="1930"/>
      <c r="N198" s="1919"/>
      <c r="O198" s="1919"/>
      <c r="P198" s="1892"/>
      <c r="Q198" s="1892"/>
      <c r="R198" s="1892"/>
      <c r="S198" s="1892"/>
      <c r="T198" s="1892"/>
      <c r="U198" s="1892"/>
      <c r="V198" s="1892"/>
      <c r="W198" s="1892"/>
      <c r="X198" s="1892"/>
      <c r="Y198" s="1892"/>
      <c r="Z198" s="1885"/>
      <c r="AA198" s="1886"/>
    </row>
    <row r="199" spans="1:27" ht="11.25" customHeight="1">
      <c r="A199" s="1900"/>
      <c r="B199" s="1933" t="s">
        <v>397</v>
      </c>
      <c r="C199" s="1934"/>
      <c r="D199" s="1934"/>
      <c r="E199" s="1934"/>
      <c r="F199" s="1934"/>
      <c r="G199" s="1934"/>
      <c r="H199" s="1934"/>
      <c r="I199" s="1935"/>
      <c r="J199" s="1909"/>
      <c r="K199" s="1909"/>
      <c r="L199" s="1931"/>
      <c r="M199" s="1939" t="s">
        <v>129</v>
      </c>
      <c r="N199" s="1942">
        <f>SUM(P199:Y202)</f>
        <v>2458000</v>
      </c>
      <c r="O199" s="1919" t="s">
        <v>117</v>
      </c>
      <c r="P199" s="1892">
        <v>161000</v>
      </c>
      <c r="Q199" s="1892">
        <v>2297000</v>
      </c>
      <c r="R199" s="1892">
        <v>0</v>
      </c>
      <c r="S199" s="1892">
        <v>0</v>
      </c>
      <c r="T199" s="1892">
        <v>0</v>
      </c>
      <c r="U199" s="1892">
        <v>0</v>
      </c>
      <c r="V199" s="1892">
        <v>0</v>
      </c>
      <c r="W199" s="1892">
        <v>0</v>
      </c>
      <c r="X199" s="1892">
        <v>0</v>
      </c>
      <c r="Y199" s="1892">
        <v>0</v>
      </c>
      <c r="Z199" s="1885" t="s">
        <v>372</v>
      </c>
      <c r="AA199" s="1886">
        <f>Q191</f>
        <v>2297000</v>
      </c>
    </row>
    <row r="200" spans="1:27" ht="11.25" customHeight="1">
      <c r="A200" s="1900"/>
      <c r="B200" s="1933"/>
      <c r="C200" s="1934"/>
      <c r="D200" s="1934"/>
      <c r="E200" s="1934"/>
      <c r="F200" s="1934"/>
      <c r="G200" s="1934"/>
      <c r="H200" s="1934"/>
      <c r="I200" s="1935"/>
      <c r="J200" s="1909"/>
      <c r="K200" s="1909"/>
      <c r="L200" s="1931"/>
      <c r="M200" s="1940"/>
      <c r="N200" s="1919"/>
      <c r="O200" s="1919"/>
      <c r="P200" s="1892"/>
      <c r="Q200" s="1892"/>
      <c r="R200" s="1892"/>
      <c r="S200" s="1892"/>
      <c r="T200" s="1892"/>
      <c r="U200" s="1892"/>
      <c r="V200" s="1892"/>
      <c r="W200" s="1892"/>
      <c r="X200" s="1892"/>
      <c r="Y200" s="1892"/>
      <c r="Z200" s="1885"/>
      <c r="AA200" s="1886"/>
    </row>
    <row r="201" spans="1:27" ht="11.25" customHeight="1">
      <c r="A201" s="1900"/>
      <c r="B201" s="1933"/>
      <c r="C201" s="1934"/>
      <c r="D201" s="1934"/>
      <c r="E201" s="1934"/>
      <c r="F201" s="1934"/>
      <c r="G201" s="1934"/>
      <c r="H201" s="1934"/>
      <c r="I201" s="1935"/>
      <c r="J201" s="1909"/>
      <c r="K201" s="1909"/>
      <c r="L201" s="1931"/>
      <c r="M201" s="1940"/>
      <c r="N201" s="1919"/>
      <c r="O201" s="1919"/>
      <c r="P201" s="1892"/>
      <c r="Q201" s="1892"/>
      <c r="R201" s="1892"/>
      <c r="S201" s="1892"/>
      <c r="T201" s="1892"/>
      <c r="U201" s="1892"/>
      <c r="V201" s="1892"/>
      <c r="W201" s="1892"/>
      <c r="X201" s="1892"/>
      <c r="Y201" s="1892"/>
      <c r="Z201" s="1887"/>
      <c r="AA201" s="1886"/>
    </row>
    <row r="202" spans="1:27" ht="11.25" customHeight="1" thickBot="1">
      <c r="A202" s="1901"/>
      <c r="B202" s="1936"/>
      <c r="C202" s="1937"/>
      <c r="D202" s="1937"/>
      <c r="E202" s="1937"/>
      <c r="F202" s="1937"/>
      <c r="G202" s="1937"/>
      <c r="H202" s="1937"/>
      <c r="I202" s="1938"/>
      <c r="J202" s="1911"/>
      <c r="K202" s="1911"/>
      <c r="L202" s="1932"/>
      <c r="M202" s="1941"/>
      <c r="N202" s="1920"/>
      <c r="O202" s="1920"/>
      <c r="P202" s="1893"/>
      <c r="Q202" s="1893"/>
      <c r="R202" s="1893"/>
      <c r="S202" s="1893"/>
      <c r="T202" s="1893"/>
      <c r="U202" s="1893"/>
      <c r="V202" s="1893"/>
      <c r="W202" s="1893"/>
      <c r="X202" s="1893"/>
      <c r="Y202" s="1893"/>
      <c r="Z202" s="1888"/>
      <c r="AA202" s="1889"/>
    </row>
    <row r="203" spans="1:27" ht="24.75" customHeight="1" thickTop="1" thickBot="1">
      <c r="A203" s="844"/>
      <c r="B203" s="845"/>
      <c r="C203" s="845"/>
      <c r="D203" s="845"/>
      <c r="E203" s="845"/>
      <c r="F203" s="845"/>
      <c r="G203" s="845"/>
      <c r="H203" s="845"/>
      <c r="I203" s="845"/>
      <c r="J203" s="846"/>
      <c r="K203" s="846"/>
      <c r="L203" s="828"/>
      <c r="M203" s="840"/>
      <c r="N203" s="846"/>
      <c r="O203" s="846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826"/>
      <c r="AA203" s="827"/>
    </row>
    <row r="204" spans="1:27" ht="22.5" customHeight="1" thickTop="1">
      <c r="A204" s="1898">
        <v>13</v>
      </c>
      <c r="B204" s="1855" t="s">
        <v>106</v>
      </c>
      <c r="C204" s="1856"/>
      <c r="D204" s="1857">
        <v>851</v>
      </c>
      <c r="E204" s="1858"/>
      <c r="F204" s="1859" t="s">
        <v>424</v>
      </c>
      <c r="G204" s="1860"/>
      <c r="H204" s="1860"/>
      <c r="I204" s="1861"/>
      <c r="J204" s="1908">
        <v>2012</v>
      </c>
      <c r="K204" s="1908">
        <v>2017</v>
      </c>
      <c r="L204" s="1912">
        <f>SUM(N204,L209)</f>
        <v>6437918.3599999994</v>
      </c>
      <c r="M204" s="1914" t="s">
        <v>125</v>
      </c>
      <c r="N204" s="1916">
        <f>SUM(N208:N211)</f>
        <v>5823748.1899999995</v>
      </c>
      <c r="O204" s="1918" t="s">
        <v>117</v>
      </c>
      <c r="P204" s="1890">
        <f t="shared" ref="P204:Y204" si="14">SUM(P208:P211)</f>
        <v>1400529.73</v>
      </c>
      <c r="Q204" s="1890">
        <f t="shared" si="14"/>
        <v>1308084.08</v>
      </c>
      <c r="R204" s="1890">
        <f t="shared" si="14"/>
        <v>1214505.81</v>
      </c>
      <c r="S204" s="1890">
        <f t="shared" si="14"/>
        <v>1121376.3400000001</v>
      </c>
      <c r="T204" s="1890">
        <f t="shared" si="14"/>
        <v>779252.23</v>
      </c>
      <c r="U204" s="1890">
        <f t="shared" si="14"/>
        <v>0</v>
      </c>
      <c r="V204" s="1890">
        <f t="shared" si="14"/>
        <v>0</v>
      </c>
      <c r="W204" s="1890">
        <f t="shared" si="14"/>
        <v>0</v>
      </c>
      <c r="X204" s="1890">
        <f t="shared" si="14"/>
        <v>0</v>
      </c>
      <c r="Y204" s="1890">
        <f t="shared" si="14"/>
        <v>0</v>
      </c>
      <c r="Z204" s="1877">
        <v>6437918.3600000003</v>
      </c>
      <c r="AA204" s="1878"/>
    </row>
    <row r="205" spans="1:27" ht="21" customHeight="1">
      <c r="A205" s="1899"/>
      <c r="B205" s="1862" t="s">
        <v>474</v>
      </c>
      <c r="C205" s="1863"/>
      <c r="D205" s="1864">
        <v>85111</v>
      </c>
      <c r="E205" s="1865"/>
      <c r="F205" s="1866" t="s">
        <v>425</v>
      </c>
      <c r="G205" s="1867"/>
      <c r="H205" s="1867"/>
      <c r="I205" s="1868"/>
      <c r="J205" s="1909"/>
      <c r="K205" s="1909"/>
      <c r="L205" s="1944"/>
      <c r="M205" s="1915"/>
      <c r="N205" s="1917"/>
      <c r="O205" s="1919"/>
      <c r="P205" s="1891"/>
      <c r="Q205" s="1891"/>
      <c r="R205" s="1891"/>
      <c r="S205" s="1891"/>
      <c r="T205" s="1891"/>
      <c r="U205" s="1891"/>
      <c r="V205" s="1891"/>
      <c r="W205" s="1891"/>
      <c r="X205" s="1891"/>
      <c r="Y205" s="1891"/>
      <c r="Z205" s="1879"/>
      <c r="AA205" s="1880"/>
    </row>
    <row r="206" spans="1:27" ht="11.25" customHeight="1">
      <c r="A206" s="1899"/>
      <c r="B206" s="1869" t="s">
        <v>437</v>
      </c>
      <c r="C206" s="1870"/>
      <c r="D206" s="1871"/>
      <c r="E206" s="1871"/>
      <c r="F206" s="1871"/>
      <c r="G206" s="1871"/>
      <c r="H206" s="1871"/>
      <c r="I206" s="1872"/>
      <c r="J206" s="1909"/>
      <c r="K206" s="1909"/>
      <c r="L206" s="1944"/>
      <c r="M206" s="1915"/>
      <c r="N206" s="1917"/>
      <c r="O206" s="1919"/>
      <c r="P206" s="1891"/>
      <c r="Q206" s="1891"/>
      <c r="R206" s="1891"/>
      <c r="S206" s="1891"/>
      <c r="T206" s="1891"/>
      <c r="U206" s="1891"/>
      <c r="V206" s="1891"/>
      <c r="W206" s="1891"/>
      <c r="X206" s="1891"/>
      <c r="Y206" s="1891"/>
      <c r="Z206" s="1879"/>
      <c r="AA206" s="1880"/>
    </row>
    <row r="207" spans="1:27" ht="50.25" customHeight="1">
      <c r="A207" s="1899"/>
      <c r="B207" s="1873"/>
      <c r="C207" s="1874"/>
      <c r="D207" s="1875"/>
      <c r="E207" s="1875"/>
      <c r="F207" s="1875"/>
      <c r="G207" s="1875"/>
      <c r="H207" s="1875"/>
      <c r="I207" s="1876"/>
      <c r="J207" s="1909"/>
      <c r="K207" s="1909"/>
      <c r="L207" s="1944"/>
      <c r="M207" s="1915"/>
      <c r="N207" s="1917"/>
      <c r="O207" s="1919"/>
      <c r="P207" s="1891"/>
      <c r="Q207" s="1891"/>
      <c r="R207" s="1891"/>
      <c r="S207" s="1891"/>
      <c r="T207" s="1891"/>
      <c r="U207" s="1891"/>
      <c r="V207" s="1891"/>
      <c r="W207" s="1891"/>
      <c r="X207" s="1891"/>
      <c r="Y207" s="1891"/>
      <c r="Z207" s="1894"/>
      <c r="AA207" s="1895"/>
    </row>
    <row r="208" spans="1:27" ht="11.25" customHeight="1">
      <c r="A208" s="1900"/>
      <c r="B208" s="1933" t="s">
        <v>427</v>
      </c>
      <c r="C208" s="1934"/>
      <c r="D208" s="1934"/>
      <c r="E208" s="1934"/>
      <c r="F208" s="1934"/>
      <c r="G208" s="1934"/>
      <c r="H208" s="1934"/>
      <c r="I208" s="1935"/>
      <c r="J208" s="1910"/>
      <c r="K208" s="1909"/>
      <c r="L208" s="1944"/>
      <c r="M208" s="1930" t="s">
        <v>402</v>
      </c>
      <c r="N208" s="1942">
        <f>SUM(P208:Y211)</f>
        <v>5823748.1899999995</v>
      </c>
      <c r="O208" s="1919" t="s">
        <v>117</v>
      </c>
      <c r="P208" s="1892">
        <v>1400529.73</v>
      </c>
      <c r="Q208" s="1892">
        <v>1308084.08</v>
      </c>
      <c r="R208" s="1892">
        <v>1214505.81</v>
      </c>
      <c r="S208" s="1892">
        <v>1121376.3400000001</v>
      </c>
      <c r="T208" s="1892">
        <v>779252.23</v>
      </c>
      <c r="U208" s="1892">
        <v>0</v>
      </c>
      <c r="V208" s="1892">
        <v>0</v>
      </c>
      <c r="W208" s="1892">
        <v>0</v>
      </c>
      <c r="X208" s="1892">
        <v>0</v>
      </c>
      <c r="Y208" s="1892">
        <v>0</v>
      </c>
      <c r="Z208" s="1896"/>
      <c r="AA208" s="1897"/>
    </row>
    <row r="209" spans="1:27" ht="11.25" customHeight="1">
      <c r="A209" s="1900"/>
      <c r="B209" s="1933"/>
      <c r="C209" s="1934"/>
      <c r="D209" s="1934"/>
      <c r="E209" s="1934"/>
      <c r="F209" s="1934"/>
      <c r="G209" s="1934"/>
      <c r="H209" s="1934"/>
      <c r="I209" s="1935"/>
      <c r="J209" s="1910"/>
      <c r="K209" s="1909"/>
      <c r="L209" s="1943">
        <v>614170.17000000004</v>
      </c>
      <c r="M209" s="1930"/>
      <c r="N209" s="1919"/>
      <c r="O209" s="1919"/>
      <c r="P209" s="1892"/>
      <c r="Q209" s="1892"/>
      <c r="R209" s="1892"/>
      <c r="S209" s="1892"/>
      <c r="T209" s="1892"/>
      <c r="U209" s="1892"/>
      <c r="V209" s="1892"/>
      <c r="W209" s="1892"/>
      <c r="X209" s="1892"/>
      <c r="Y209" s="1892"/>
      <c r="Z209" s="1885"/>
      <c r="AA209" s="1886"/>
    </row>
    <row r="210" spans="1:27" ht="11.25" customHeight="1">
      <c r="A210" s="1900"/>
      <c r="B210" s="1933"/>
      <c r="C210" s="1934"/>
      <c r="D210" s="1934"/>
      <c r="E210" s="1934"/>
      <c r="F210" s="1934"/>
      <c r="G210" s="1934"/>
      <c r="H210" s="1934"/>
      <c r="I210" s="1935"/>
      <c r="J210" s="1910"/>
      <c r="K210" s="1909"/>
      <c r="L210" s="1944"/>
      <c r="M210" s="1930"/>
      <c r="N210" s="1919"/>
      <c r="O210" s="1919"/>
      <c r="P210" s="1892"/>
      <c r="Q210" s="1892"/>
      <c r="R210" s="1892"/>
      <c r="S210" s="1892"/>
      <c r="T210" s="1892"/>
      <c r="U210" s="1892"/>
      <c r="V210" s="1892"/>
      <c r="W210" s="1892"/>
      <c r="X210" s="1892"/>
      <c r="Y210" s="1892"/>
      <c r="Z210" s="1885"/>
      <c r="AA210" s="1886"/>
    </row>
    <row r="211" spans="1:27" ht="20.25" customHeight="1" thickBot="1">
      <c r="A211" s="1901"/>
      <c r="B211" s="1936"/>
      <c r="C211" s="1937"/>
      <c r="D211" s="1937"/>
      <c r="E211" s="1937"/>
      <c r="F211" s="1937"/>
      <c r="G211" s="1937"/>
      <c r="H211" s="1937"/>
      <c r="I211" s="1938"/>
      <c r="J211" s="1948"/>
      <c r="K211" s="1911"/>
      <c r="L211" s="1945"/>
      <c r="M211" s="1949"/>
      <c r="N211" s="1920"/>
      <c r="O211" s="1920"/>
      <c r="P211" s="1893"/>
      <c r="Q211" s="1893"/>
      <c r="R211" s="1893"/>
      <c r="S211" s="1893"/>
      <c r="T211" s="1893"/>
      <c r="U211" s="1893"/>
      <c r="V211" s="1893"/>
      <c r="W211" s="1893"/>
      <c r="X211" s="1893"/>
      <c r="Y211" s="1893"/>
      <c r="Z211" s="1946"/>
      <c r="AA211" s="1947"/>
    </row>
    <row r="212" spans="1:27" ht="25.5" customHeight="1" thickTop="1" thickBot="1">
      <c r="A212" s="844"/>
      <c r="B212" s="845"/>
      <c r="C212" s="845"/>
      <c r="D212" s="845"/>
      <c r="E212" s="845"/>
      <c r="F212" s="845"/>
      <c r="G212" s="845"/>
      <c r="H212" s="845"/>
      <c r="I212" s="845"/>
      <c r="J212" s="846"/>
      <c r="K212" s="846"/>
      <c r="L212" s="828"/>
      <c r="M212" s="840"/>
      <c r="N212" s="846"/>
      <c r="O212" s="846"/>
      <c r="P212" s="658"/>
      <c r="Q212" s="658"/>
      <c r="R212" s="658"/>
      <c r="S212" s="658"/>
      <c r="T212" s="658"/>
      <c r="U212" s="658"/>
      <c r="V212" s="658"/>
      <c r="W212" s="658"/>
      <c r="X212" s="658"/>
      <c r="Y212" s="658"/>
      <c r="Z212" s="826"/>
      <c r="AA212" s="827"/>
    </row>
    <row r="213" spans="1:27" ht="19.5" customHeight="1" thickTop="1">
      <c r="A213" s="1898">
        <v>14</v>
      </c>
      <c r="B213" s="1855" t="s">
        <v>106</v>
      </c>
      <c r="C213" s="1856"/>
      <c r="D213" s="1857">
        <v>851</v>
      </c>
      <c r="E213" s="1858"/>
      <c r="F213" s="1859" t="s">
        <v>424</v>
      </c>
      <c r="G213" s="1860"/>
      <c r="H213" s="1860"/>
      <c r="I213" s="1861"/>
      <c r="J213" s="1908">
        <v>2012</v>
      </c>
      <c r="K213" s="1908">
        <v>2022</v>
      </c>
      <c r="L213" s="1912">
        <f>SUM(N213,L218)</f>
        <v>9976353.9299999997</v>
      </c>
      <c r="M213" s="1914" t="s">
        <v>125</v>
      </c>
      <c r="N213" s="1916">
        <f>SUM(N217:N220)</f>
        <v>9491011.4100000001</v>
      </c>
      <c r="O213" s="1918" t="s">
        <v>117</v>
      </c>
      <c r="P213" s="1890">
        <f t="shared" ref="P213:Y213" si="15">SUM(P217:P220)</f>
        <v>1175544.1299999999</v>
      </c>
      <c r="Q213" s="1890">
        <f t="shared" si="15"/>
        <v>1129320.94</v>
      </c>
      <c r="R213" s="1890">
        <f t="shared" si="15"/>
        <v>1083097.74</v>
      </c>
      <c r="S213" s="1890">
        <f t="shared" si="15"/>
        <v>1037718.8</v>
      </c>
      <c r="T213" s="1890">
        <f t="shared" si="15"/>
        <v>990651.36</v>
      </c>
      <c r="U213" s="1890">
        <f t="shared" si="15"/>
        <v>944428.13</v>
      </c>
      <c r="V213" s="1890">
        <f t="shared" si="15"/>
        <v>898204.96</v>
      </c>
      <c r="W213" s="1890">
        <f t="shared" si="15"/>
        <v>852319.45</v>
      </c>
      <c r="X213" s="1890">
        <f t="shared" si="15"/>
        <v>805758.55</v>
      </c>
      <c r="Y213" s="1890">
        <f t="shared" si="15"/>
        <v>573967.35</v>
      </c>
      <c r="Z213" s="1877">
        <v>9976353.9299999997</v>
      </c>
      <c r="AA213" s="1878"/>
    </row>
    <row r="214" spans="1:27" ht="21" customHeight="1">
      <c r="A214" s="1899"/>
      <c r="B214" s="1862" t="s">
        <v>474</v>
      </c>
      <c r="C214" s="1863"/>
      <c r="D214" s="1864">
        <v>85111</v>
      </c>
      <c r="E214" s="1865"/>
      <c r="F214" s="1866" t="s">
        <v>425</v>
      </c>
      <c r="G214" s="1867"/>
      <c r="H214" s="1867"/>
      <c r="I214" s="1868"/>
      <c r="J214" s="1909"/>
      <c r="K214" s="1909"/>
      <c r="L214" s="1944"/>
      <c r="M214" s="1915"/>
      <c r="N214" s="1917"/>
      <c r="O214" s="1919"/>
      <c r="P214" s="1891"/>
      <c r="Q214" s="1891"/>
      <c r="R214" s="1891"/>
      <c r="S214" s="1891"/>
      <c r="T214" s="1891"/>
      <c r="U214" s="1891"/>
      <c r="V214" s="1891"/>
      <c r="W214" s="1891"/>
      <c r="X214" s="1891"/>
      <c r="Y214" s="1891"/>
      <c r="Z214" s="1879"/>
      <c r="AA214" s="1880"/>
    </row>
    <row r="215" spans="1:27" ht="11.25" customHeight="1">
      <c r="A215" s="1899"/>
      <c r="B215" s="1869" t="s">
        <v>438</v>
      </c>
      <c r="C215" s="1870"/>
      <c r="D215" s="1871"/>
      <c r="E215" s="1871"/>
      <c r="F215" s="1871"/>
      <c r="G215" s="1871"/>
      <c r="H215" s="1871"/>
      <c r="I215" s="1872"/>
      <c r="J215" s="1909"/>
      <c r="K215" s="1909"/>
      <c r="L215" s="1944"/>
      <c r="M215" s="1915"/>
      <c r="N215" s="1917"/>
      <c r="O215" s="1919"/>
      <c r="P215" s="1891"/>
      <c r="Q215" s="1891"/>
      <c r="R215" s="1891"/>
      <c r="S215" s="1891"/>
      <c r="T215" s="1891"/>
      <c r="U215" s="1891"/>
      <c r="V215" s="1891"/>
      <c r="W215" s="1891"/>
      <c r="X215" s="1891"/>
      <c r="Y215" s="1891"/>
      <c r="Z215" s="1879"/>
      <c r="AA215" s="1880"/>
    </row>
    <row r="216" spans="1:27" ht="48.75" customHeight="1">
      <c r="A216" s="1899"/>
      <c r="B216" s="1873"/>
      <c r="C216" s="1874"/>
      <c r="D216" s="1875"/>
      <c r="E216" s="1875"/>
      <c r="F216" s="1875"/>
      <c r="G216" s="1875"/>
      <c r="H216" s="1875"/>
      <c r="I216" s="1876"/>
      <c r="J216" s="1909"/>
      <c r="K216" s="1909"/>
      <c r="L216" s="1944"/>
      <c r="M216" s="1915"/>
      <c r="N216" s="1917"/>
      <c r="O216" s="1919"/>
      <c r="P216" s="1891"/>
      <c r="Q216" s="1891"/>
      <c r="R216" s="1891"/>
      <c r="S216" s="1891"/>
      <c r="T216" s="1891"/>
      <c r="U216" s="1891"/>
      <c r="V216" s="1891"/>
      <c r="W216" s="1891"/>
      <c r="X216" s="1891"/>
      <c r="Y216" s="1891"/>
      <c r="Z216" s="1894"/>
      <c r="AA216" s="1895"/>
    </row>
    <row r="217" spans="1:27" ht="11.25" customHeight="1">
      <c r="A217" s="1900"/>
      <c r="B217" s="1933" t="s">
        <v>427</v>
      </c>
      <c r="C217" s="1934"/>
      <c r="D217" s="1934"/>
      <c r="E217" s="1934"/>
      <c r="F217" s="1934"/>
      <c r="G217" s="1934"/>
      <c r="H217" s="1934"/>
      <c r="I217" s="1935"/>
      <c r="J217" s="1910"/>
      <c r="K217" s="1909"/>
      <c r="L217" s="1944"/>
      <c r="M217" s="1930" t="s">
        <v>402</v>
      </c>
      <c r="N217" s="1942">
        <f>SUM(P217:Y220)</f>
        <v>9491011.4100000001</v>
      </c>
      <c r="O217" s="1919" t="s">
        <v>117</v>
      </c>
      <c r="P217" s="1892">
        <v>1175544.1299999999</v>
      </c>
      <c r="Q217" s="1892">
        <v>1129320.94</v>
      </c>
      <c r="R217" s="1892">
        <v>1083097.74</v>
      </c>
      <c r="S217" s="1892">
        <v>1037718.8</v>
      </c>
      <c r="T217" s="1892">
        <v>990651.36</v>
      </c>
      <c r="U217" s="1892">
        <v>944428.13</v>
      </c>
      <c r="V217" s="1892">
        <v>898204.96</v>
      </c>
      <c r="W217" s="1892">
        <v>852319.45</v>
      </c>
      <c r="X217" s="1892">
        <v>805758.55</v>
      </c>
      <c r="Y217" s="1892">
        <v>573967.35</v>
      </c>
      <c r="Z217" s="1896"/>
      <c r="AA217" s="1897"/>
    </row>
    <row r="218" spans="1:27" ht="11.25" customHeight="1">
      <c r="A218" s="1900"/>
      <c r="B218" s="1933"/>
      <c r="C218" s="1934"/>
      <c r="D218" s="1934"/>
      <c r="E218" s="1934"/>
      <c r="F218" s="1934"/>
      <c r="G218" s="1934"/>
      <c r="H218" s="1934"/>
      <c r="I218" s="1935"/>
      <c r="J218" s="1910"/>
      <c r="K218" s="1909"/>
      <c r="L218" s="1943">
        <v>485342.52</v>
      </c>
      <c r="M218" s="1930"/>
      <c r="N218" s="1919"/>
      <c r="O218" s="1919"/>
      <c r="P218" s="1892"/>
      <c r="Q218" s="1892"/>
      <c r="R218" s="1892"/>
      <c r="S218" s="1892"/>
      <c r="T218" s="1892"/>
      <c r="U218" s="1892"/>
      <c r="V218" s="1892"/>
      <c r="W218" s="1892"/>
      <c r="X218" s="1892"/>
      <c r="Y218" s="1892"/>
      <c r="Z218" s="1885"/>
      <c r="AA218" s="1886"/>
    </row>
    <row r="219" spans="1:27" ht="11.25" customHeight="1">
      <c r="A219" s="1900"/>
      <c r="B219" s="1933"/>
      <c r="C219" s="1934"/>
      <c r="D219" s="1934"/>
      <c r="E219" s="1934"/>
      <c r="F219" s="1934"/>
      <c r="G219" s="1934"/>
      <c r="H219" s="1934"/>
      <c r="I219" s="1935"/>
      <c r="J219" s="1910"/>
      <c r="K219" s="1909"/>
      <c r="L219" s="1944"/>
      <c r="M219" s="1930"/>
      <c r="N219" s="1919"/>
      <c r="O219" s="1919"/>
      <c r="P219" s="1892"/>
      <c r="Q219" s="1892"/>
      <c r="R219" s="1892"/>
      <c r="S219" s="1892"/>
      <c r="T219" s="1892"/>
      <c r="U219" s="1892"/>
      <c r="V219" s="1892"/>
      <c r="W219" s="1892"/>
      <c r="X219" s="1892"/>
      <c r="Y219" s="1892"/>
      <c r="Z219" s="1885">
        <v>0</v>
      </c>
      <c r="AA219" s="1886"/>
    </row>
    <row r="220" spans="1:27" ht="25.5" customHeight="1" thickBot="1">
      <c r="A220" s="1901"/>
      <c r="B220" s="1936"/>
      <c r="C220" s="1937"/>
      <c r="D220" s="1937"/>
      <c r="E220" s="1937"/>
      <c r="F220" s="1937"/>
      <c r="G220" s="1937"/>
      <c r="H220" s="1937"/>
      <c r="I220" s="1938"/>
      <c r="J220" s="1948"/>
      <c r="K220" s="1911"/>
      <c r="L220" s="1945"/>
      <c r="M220" s="1949"/>
      <c r="N220" s="1920"/>
      <c r="O220" s="1920"/>
      <c r="P220" s="1893"/>
      <c r="Q220" s="1893"/>
      <c r="R220" s="1893"/>
      <c r="S220" s="1893"/>
      <c r="T220" s="1893"/>
      <c r="U220" s="1893"/>
      <c r="V220" s="1893"/>
      <c r="W220" s="1893"/>
      <c r="X220" s="1893"/>
      <c r="Y220" s="1893"/>
      <c r="Z220" s="1946"/>
      <c r="AA220" s="1947"/>
    </row>
    <row r="221" spans="1:27" ht="12.75" customHeight="1" thickTop="1" thickBot="1">
      <c r="A221" s="820"/>
      <c r="B221" s="821"/>
      <c r="C221" s="821"/>
      <c r="D221" s="821"/>
      <c r="E221" s="821"/>
      <c r="F221" s="821"/>
      <c r="G221" s="821"/>
      <c r="H221" s="821"/>
      <c r="I221" s="821"/>
      <c r="J221" s="822"/>
      <c r="K221" s="822"/>
      <c r="L221" s="828"/>
      <c r="M221" s="840"/>
      <c r="N221" s="822"/>
      <c r="O221" s="822"/>
      <c r="P221" s="658"/>
      <c r="Q221" s="658"/>
      <c r="R221" s="658"/>
      <c r="S221" s="658"/>
      <c r="T221" s="658"/>
      <c r="U221" s="658"/>
      <c r="V221" s="658"/>
      <c r="W221" s="658"/>
      <c r="X221" s="658"/>
      <c r="Y221" s="658"/>
      <c r="Z221" s="826"/>
      <c r="AA221" s="827"/>
    </row>
    <row r="222" spans="1:27" ht="13.5" customHeight="1" thickTop="1">
      <c r="A222" s="1898">
        <v>15</v>
      </c>
      <c r="B222" s="1902" t="s">
        <v>106</v>
      </c>
      <c r="C222" s="1903"/>
      <c r="D222" s="1903">
        <v>801</v>
      </c>
      <c r="E222" s="1903"/>
      <c r="F222" s="1906" t="s">
        <v>150</v>
      </c>
      <c r="G222" s="1906"/>
      <c r="H222" s="1906"/>
      <c r="I222" s="1906"/>
      <c r="J222" s="1908">
        <v>2012</v>
      </c>
      <c r="K222" s="1908">
        <v>2013</v>
      </c>
      <c r="L222" s="1912">
        <f>SUM(N222,L228)</f>
        <v>198816</v>
      </c>
      <c r="M222" s="1914" t="s">
        <v>125</v>
      </c>
      <c r="N222" s="1916">
        <f>SUM(N226:N233)</f>
        <v>116150</v>
      </c>
      <c r="O222" s="1918" t="s">
        <v>117</v>
      </c>
      <c r="P222" s="1890">
        <f>SUM(P226:P233)</f>
        <v>116150</v>
      </c>
      <c r="Q222" s="1890">
        <f>SUM(Q226:Q233)</f>
        <v>0</v>
      </c>
      <c r="R222" s="1890">
        <f>SUM(R226:R233)</f>
        <v>0</v>
      </c>
      <c r="S222" s="1890">
        <f t="shared" ref="S222:Y222" si="16">SUM(S226:S233)</f>
        <v>0</v>
      </c>
      <c r="T222" s="1890">
        <f t="shared" si="16"/>
        <v>0</v>
      </c>
      <c r="U222" s="1890">
        <f t="shared" si="16"/>
        <v>0</v>
      </c>
      <c r="V222" s="1890">
        <f t="shared" si="16"/>
        <v>0</v>
      </c>
      <c r="W222" s="1890">
        <f t="shared" si="16"/>
        <v>0</v>
      </c>
      <c r="X222" s="1890">
        <f t="shared" si="16"/>
        <v>0</v>
      </c>
      <c r="Y222" s="1890">
        <f t="shared" si="16"/>
        <v>0</v>
      </c>
      <c r="Z222" s="1877">
        <f>SUM(AA226:AA233)</f>
        <v>116150</v>
      </c>
      <c r="AA222" s="1878"/>
    </row>
    <row r="223" spans="1:27" ht="9.75" customHeight="1">
      <c r="A223" s="1899"/>
      <c r="B223" s="1904"/>
      <c r="C223" s="1905"/>
      <c r="D223" s="1905"/>
      <c r="E223" s="1905"/>
      <c r="F223" s="1907"/>
      <c r="G223" s="1907"/>
      <c r="H223" s="1907"/>
      <c r="I223" s="1907"/>
      <c r="J223" s="1909"/>
      <c r="K223" s="1909"/>
      <c r="L223" s="1913"/>
      <c r="M223" s="1915"/>
      <c r="N223" s="1917"/>
      <c r="O223" s="1919"/>
      <c r="P223" s="1891"/>
      <c r="Q223" s="1891"/>
      <c r="R223" s="1891"/>
      <c r="S223" s="1891"/>
      <c r="T223" s="1891"/>
      <c r="U223" s="1891"/>
      <c r="V223" s="1891"/>
      <c r="W223" s="1891"/>
      <c r="X223" s="1891"/>
      <c r="Y223" s="1891"/>
      <c r="Z223" s="1879"/>
      <c r="AA223" s="1880"/>
    </row>
    <row r="224" spans="1:27" ht="12.75" customHeight="1">
      <c r="A224" s="1899"/>
      <c r="B224" s="1921" t="s">
        <v>112</v>
      </c>
      <c r="C224" s="1919"/>
      <c r="D224" s="1919">
        <v>80113</v>
      </c>
      <c r="E224" s="1919"/>
      <c r="F224" s="1907" t="s">
        <v>413</v>
      </c>
      <c r="G224" s="1907"/>
      <c r="H224" s="1907"/>
      <c r="I224" s="1907"/>
      <c r="J224" s="1909"/>
      <c r="K224" s="1909"/>
      <c r="L224" s="1913"/>
      <c r="M224" s="1915"/>
      <c r="N224" s="1917"/>
      <c r="O224" s="1919"/>
      <c r="P224" s="1891"/>
      <c r="Q224" s="1891"/>
      <c r="R224" s="1891"/>
      <c r="S224" s="1891"/>
      <c r="T224" s="1891"/>
      <c r="U224" s="1891"/>
      <c r="V224" s="1891"/>
      <c r="W224" s="1891"/>
      <c r="X224" s="1891"/>
      <c r="Y224" s="1891"/>
      <c r="Z224" s="1879"/>
      <c r="AA224" s="1880"/>
    </row>
    <row r="225" spans="1:27">
      <c r="A225" s="1899"/>
      <c r="B225" s="1922"/>
      <c r="C225" s="1923"/>
      <c r="D225" s="1923"/>
      <c r="E225" s="1923"/>
      <c r="F225" s="1924"/>
      <c r="G225" s="1924"/>
      <c r="H225" s="1924"/>
      <c r="I225" s="1924"/>
      <c r="J225" s="1909"/>
      <c r="K225" s="1909"/>
      <c r="L225" s="1913"/>
      <c r="M225" s="1915"/>
      <c r="N225" s="1917"/>
      <c r="O225" s="1919"/>
      <c r="P225" s="1891"/>
      <c r="Q225" s="1891"/>
      <c r="R225" s="1891"/>
      <c r="S225" s="1891"/>
      <c r="T225" s="1891"/>
      <c r="U225" s="1891"/>
      <c r="V225" s="1891"/>
      <c r="W225" s="1891"/>
      <c r="X225" s="1891"/>
      <c r="Y225" s="1891"/>
      <c r="Z225" s="1894"/>
      <c r="AA225" s="1895"/>
    </row>
    <row r="226" spans="1:27">
      <c r="A226" s="1900"/>
      <c r="B226" s="1869" t="s">
        <v>414</v>
      </c>
      <c r="C226" s="1870"/>
      <c r="D226" s="1870"/>
      <c r="E226" s="1870"/>
      <c r="F226" s="1870"/>
      <c r="G226" s="1870"/>
      <c r="H226" s="1870"/>
      <c r="I226" s="1925"/>
      <c r="J226" s="1910"/>
      <c r="K226" s="1909"/>
      <c r="L226" s="1913"/>
      <c r="M226" s="1930" t="s">
        <v>152</v>
      </c>
      <c r="N226" s="1942">
        <f>SUM(P226:Y229)</f>
        <v>0</v>
      </c>
      <c r="O226" s="1919" t="s">
        <v>117</v>
      </c>
      <c r="P226" s="1892"/>
      <c r="Q226" s="1892">
        <v>0</v>
      </c>
      <c r="R226" s="1892">
        <v>0</v>
      </c>
      <c r="S226" s="1892">
        <v>0</v>
      </c>
      <c r="T226" s="1892">
        <v>0</v>
      </c>
      <c r="U226" s="1892">
        <v>0</v>
      </c>
      <c r="V226" s="1892">
        <v>0</v>
      </c>
      <c r="W226" s="1892">
        <v>0</v>
      </c>
      <c r="X226" s="1892">
        <v>0</v>
      </c>
      <c r="Y226" s="1892">
        <v>0</v>
      </c>
      <c r="Z226" s="1896"/>
      <c r="AA226" s="1897"/>
    </row>
    <row r="227" spans="1:27">
      <c r="A227" s="1900"/>
      <c r="B227" s="1926"/>
      <c r="C227" s="1927"/>
      <c r="D227" s="1927"/>
      <c r="E227" s="1927"/>
      <c r="F227" s="1927"/>
      <c r="G227" s="1927"/>
      <c r="H227" s="1927"/>
      <c r="I227" s="1928"/>
      <c r="J227" s="1910"/>
      <c r="K227" s="1909"/>
      <c r="L227" s="1913"/>
      <c r="M227" s="1930"/>
      <c r="N227" s="1919"/>
      <c r="O227" s="1919"/>
      <c r="P227" s="1892"/>
      <c r="Q227" s="1892"/>
      <c r="R227" s="1892"/>
      <c r="S227" s="1892"/>
      <c r="T227" s="1892"/>
      <c r="U227" s="1892"/>
      <c r="V227" s="1892"/>
      <c r="W227" s="1892"/>
      <c r="X227" s="1892"/>
      <c r="Y227" s="1892"/>
      <c r="Z227" s="1885"/>
      <c r="AA227" s="1886"/>
    </row>
    <row r="228" spans="1:27" ht="8.25" customHeight="1">
      <c r="A228" s="1900"/>
      <c r="B228" s="1926"/>
      <c r="C228" s="1927"/>
      <c r="D228" s="1927"/>
      <c r="E228" s="1927"/>
      <c r="F228" s="1927"/>
      <c r="G228" s="1927"/>
      <c r="H228" s="1927"/>
      <c r="I228" s="1928"/>
      <c r="J228" s="1910"/>
      <c r="K228" s="1909"/>
      <c r="L228" s="1931">
        <v>82666</v>
      </c>
      <c r="M228" s="1930"/>
      <c r="N228" s="1919"/>
      <c r="O228" s="1919"/>
      <c r="P228" s="1892"/>
      <c r="Q228" s="1892"/>
      <c r="R228" s="1892"/>
      <c r="S228" s="1892"/>
      <c r="T228" s="1892"/>
      <c r="U228" s="1892"/>
      <c r="V228" s="1892"/>
      <c r="W228" s="1892"/>
      <c r="X228" s="1892"/>
      <c r="Y228" s="1892"/>
      <c r="Z228" s="1885" t="s">
        <v>163</v>
      </c>
      <c r="AA228" s="1886">
        <f>P222</f>
        <v>116150</v>
      </c>
    </row>
    <row r="229" spans="1:27" ht="6.75" customHeight="1">
      <c r="A229" s="1900"/>
      <c r="B229" s="1873"/>
      <c r="C229" s="1874"/>
      <c r="D229" s="1874"/>
      <c r="E229" s="1874"/>
      <c r="F229" s="1874"/>
      <c r="G229" s="1874"/>
      <c r="H229" s="1874"/>
      <c r="I229" s="1929"/>
      <c r="J229" s="1910"/>
      <c r="K229" s="1909"/>
      <c r="L229" s="1931"/>
      <c r="M229" s="1930"/>
      <c r="N229" s="1919"/>
      <c r="O229" s="1919"/>
      <c r="P229" s="1892"/>
      <c r="Q229" s="1892"/>
      <c r="R229" s="1892"/>
      <c r="S229" s="1892"/>
      <c r="T229" s="1892"/>
      <c r="U229" s="1892"/>
      <c r="V229" s="1892"/>
      <c r="W229" s="1892"/>
      <c r="X229" s="1892"/>
      <c r="Y229" s="1892"/>
      <c r="Z229" s="1885"/>
      <c r="AA229" s="1886"/>
    </row>
    <row r="230" spans="1:27" ht="13.5" customHeight="1">
      <c r="A230" s="1900"/>
      <c r="B230" s="1933" t="s">
        <v>415</v>
      </c>
      <c r="C230" s="1934"/>
      <c r="D230" s="1934"/>
      <c r="E230" s="1934"/>
      <c r="F230" s="1934"/>
      <c r="G230" s="1934"/>
      <c r="H230" s="1934"/>
      <c r="I230" s="1935"/>
      <c r="J230" s="1909"/>
      <c r="K230" s="1909"/>
      <c r="L230" s="1931"/>
      <c r="M230" s="1939" t="s">
        <v>129</v>
      </c>
      <c r="N230" s="1942">
        <f>SUM(P230:Y233)</f>
        <v>116150</v>
      </c>
      <c r="O230" s="1919" t="s">
        <v>117</v>
      </c>
      <c r="P230" s="1892">
        <v>116150</v>
      </c>
      <c r="Q230" s="1892">
        <v>0</v>
      </c>
      <c r="R230" s="1892">
        <v>0</v>
      </c>
      <c r="S230" s="1892">
        <v>0</v>
      </c>
      <c r="T230" s="1892">
        <v>0</v>
      </c>
      <c r="U230" s="1892">
        <v>0</v>
      </c>
      <c r="V230" s="1892">
        <v>0</v>
      </c>
      <c r="W230" s="1892">
        <v>0</v>
      </c>
      <c r="X230" s="1892">
        <v>0</v>
      </c>
      <c r="Y230" s="1892">
        <v>0</v>
      </c>
      <c r="Z230" s="1885"/>
      <c r="AA230" s="1886"/>
    </row>
    <row r="231" spans="1:27">
      <c r="A231" s="1900"/>
      <c r="B231" s="1933"/>
      <c r="C231" s="1934"/>
      <c r="D231" s="1934"/>
      <c r="E231" s="1934"/>
      <c r="F231" s="1934"/>
      <c r="G231" s="1934"/>
      <c r="H231" s="1934"/>
      <c r="I231" s="1935"/>
      <c r="J231" s="1909"/>
      <c r="K231" s="1909"/>
      <c r="L231" s="1931"/>
      <c r="M231" s="1940"/>
      <c r="N231" s="1919"/>
      <c r="O231" s="1919"/>
      <c r="P231" s="1892"/>
      <c r="Q231" s="1892"/>
      <c r="R231" s="1892"/>
      <c r="S231" s="1892"/>
      <c r="T231" s="1892"/>
      <c r="U231" s="1892"/>
      <c r="V231" s="1892"/>
      <c r="W231" s="1892"/>
      <c r="X231" s="1892"/>
      <c r="Y231" s="1892"/>
      <c r="Z231" s="1885"/>
      <c r="AA231" s="1886"/>
    </row>
    <row r="232" spans="1:27" ht="6" customHeight="1">
      <c r="A232" s="1900"/>
      <c r="B232" s="1933"/>
      <c r="C232" s="1934"/>
      <c r="D232" s="1934"/>
      <c r="E232" s="1934"/>
      <c r="F232" s="1934"/>
      <c r="G232" s="1934"/>
      <c r="H232" s="1934"/>
      <c r="I232" s="1935"/>
      <c r="J232" s="1909"/>
      <c r="K232" s="1909"/>
      <c r="L232" s="1931"/>
      <c r="M232" s="1940"/>
      <c r="N232" s="1919"/>
      <c r="O232" s="1919"/>
      <c r="P232" s="1892"/>
      <c r="Q232" s="1892"/>
      <c r="R232" s="1892"/>
      <c r="S232" s="1892"/>
      <c r="T232" s="1892"/>
      <c r="U232" s="1892"/>
      <c r="V232" s="1892"/>
      <c r="W232" s="1892"/>
      <c r="X232" s="1892"/>
      <c r="Y232" s="1892"/>
      <c r="Z232" s="1887"/>
      <c r="AA232" s="1886"/>
    </row>
    <row r="233" spans="1:27" ht="13.5" thickBot="1">
      <c r="A233" s="1901"/>
      <c r="B233" s="1936"/>
      <c r="C233" s="1937"/>
      <c r="D233" s="1937"/>
      <c r="E233" s="1937"/>
      <c r="F233" s="1937"/>
      <c r="G233" s="1937"/>
      <c r="H233" s="1937"/>
      <c r="I233" s="1938"/>
      <c r="J233" s="1911"/>
      <c r="K233" s="1911"/>
      <c r="L233" s="1932"/>
      <c r="M233" s="1941"/>
      <c r="N233" s="1920"/>
      <c r="O233" s="1920"/>
      <c r="P233" s="1893"/>
      <c r="Q233" s="1893"/>
      <c r="R233" s="1893"/>
      <c r="S233" s="1893"/>
      <c r="T233" s="1893"/>
      <c r="U233" s="1893"/>
      <c r="V233" s="1893"/>
      <c r="W233" s="1893"/>
      <c r="X233" s="1893"/>
      <c r="Y233" s="1893"/>
      <c r="Z233" s="1888"/>
      <c r="AA233" s="1889"/>
    </row>
    <row r="234" spans="1:27" ht="28.5" customHeight="1" thickTop="1" thickBot="1">
      <c r="A234" s="820"/>
      <c r="B234" s="821"/>
      <c r="C234" s="821"/>
      <c r="D234" s="821"/>
      <c r="E234" s="821"/>
      <c r="F234" s="821"/>
      <c r="G234" s="821"/>
      <c r="H234" s="821"/>
      <c r="I234" s="821"/>
      <c r="J234" s="822"/>
      <c r="K234" s="822"/>
      <c r="L234" s="828"/>
      <c r="M234" s="840"/>
      <c r="N234" s="822"/>
      <c r="O234" s="822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826"/>
      <c r="AA234" s="827"/>
    </row>
    <row r="235" spans="1:27" ht="13.5" thickTop="1">
      <c r="A235" s="1898">
        <v>16</v>
      </c>
      <c r="B235" s="1902" t="s">
        <v>106</v>
      </c>
      <c r="C235" s="1903"/>
      <c r="D235" s="1903">
        <v>853</v>
      </c>
      <c r="E235" s="1903"/>
      <c r="F235" s="1906" t="s">
        <v>418</v>
      </c>
      <c r="G235" s="1906"/>
      <c r="H235" s="1906"/>
      <c r="I235" s="1906"/>
      <c r="J235" s="1908">
        <v>2012</v>
      </c>
      <c r="K235" s="1908">
        <v>2014</v>
      </c>
      <c r="L235" s="1912">
        <f>SUM(N235,L241)</f>
        <v>313263</v>
      </c>
      <c r="M235" s="1914" t="s">
        <v>125</v>
      </c>
      <c r="N235" s="1916">
        <f>SUM(N239:N246)</f>
        <v>233966</v>
      </c>
      <c r="O235" s="1918" t="s">
        <v>117</v>
      </c>
      <c r="P235" s="1890">
        <f>SUM(P239:P246)</f>
        <v>139043</v>
      </c>
      <c r="Q235" s="1890">
        <f>SUM(Q239:Q246)</f>
        <v>94923</v>
      </c>
      <c r="R235" s="1890">
        <f>SUM(R239:R246)</f>
        <v>0</v>
      </c>
      <c r="S235" s="1890">
        <f t="shared" ref="S235:Y235" si="17">SUM(S239:S246)</f>
        <v>0</v>
      </c>
      <c r="T235" s="1890">
        <f t="shared" si="17"/>
        <v>0</v>
      </c>
      <c r="U235" s="1890">
        <f t="shared" si="17"/>
        <v>0</v>
      </c>
      <c r="V235" s="1890">
        <f t="shared" si="17"/>
        <v>0</v>
      </c>
      <c r="W235" s="1890">
        <f t="shared" si="17"/>
        <v>0</v>
      </c>
      <c r="X235" s="1890">
        <f t="shared" si="17"/>
        <v>0</v>
      </c>
      <c r="Y235" s="1890">
        <f t="shared" si="17"/>
        <v>0</v>
      </c>
      <c r="Z235" s="1877">
        <f>SUM(AA239:AA246)</f>
        <v>233966</v>
      </c>
      <c r="AA235" s="1878"/>
    </row>
    <row r="236" spans="1:27" ht="17.25" customHeight="1">
      <c r="A236" s="1899"/>
      <c r="B236" s="1904"/>
      <c r="C236" s="1905"/>
      <c r="D236" s="1905"/>
      <c r="E236" s="1905"/>
      <c r="F236" s="1907"/>
      <c r="G236" s="1907"/>
      <c r="H236" s="1907"/>
      <c r="I236" s="1907"/>
      <c r="J236" s="1909"/>
      <c r="K236" s="1909"/>
      <c r="L236" s="1913"/>
      <c r="M236" s="1915"/>
      <c r="N236" s="1917"/>
      <c r="O236" s="1919"/>
      <c r="P236" s="1891"/>
      <c r="Q236" s="1891"/>
      <c r="R236" s="1891"/>
      <c r="S236" s="1891"/>
      <c r="T236" s="1891"/>
      <c r="U236" s="1891"/>
      <c r="V236" s="1891"/>
      <c r="W236" s="1891"/>
      <c r="X236" s="1891"/>
      <c r="Y236" s="1891"/>
      <c r="Z236" s="1879"/>
      <c r="AA236" s="1880"/>
    </row>
    <row r="237" spans="1:27">
      <c r="A237" s="1899"/>
      <c r="B237" s="1921" t="s">
        <v>112</v>
      </c>
      <c r="C237" s="1919"/>
      <c r="D237" s="1919">
        <v>85305</v>
      </c>
      <c r="E237" s="1919"/>
      <c r="F237" s="1907" t="s">
        <v>419</v>
      </c>
      <c r="G237" s="1907"/>
      <c r="H237" s="1907"/>
      <c r="I237" s="1907"/>
      <c r="J237" s="1909"/>
      <c r="K237" s="1909"/>
      <c r="L237" s="1913"/>
      <c r="M237" s="1915"/>
      <c r="N237" s="1917"/>
      <c r="O237" s="1919"/>
      <c r="P237" s="1891"/>
      <c r="Q237" s="1891"/>
      <c r="R237" s="1891"/>
      <c r="S237" s="1891"/>
      <c r="T237" s="1891"/>
      <c r="U237" s="1891"/>
      <c r="V237" s="1891"/>
      <c r="W237" s="1891"/>
      <c r="X237" s="1891"/>
      <c r="Y237" s="1891"/>
      <c r="Z237" s="1879"/>
      <c r="AA237" s="1880"/>
    </row>
    <row r="238" spans="1:27">
      <c r="A238" s="1899"/>
      <c r="B238" s="1922"/>
      <c r="C238" s="1923"/>
      <c r="D238" s="1923"/>
      <c r="E238" s="1923"/>
      <c r="F238" s="1924"/>
      <c r="G238" s="1924"/>
      <c r="H238" s="1924"/>
      <c r="I238" s="1924"/>
      <c r="J238" s="1909"/>
      <c r="K238" s="1909"/>
      <c r="L238" s="1913"/>
      <c r="M238" s="1915"/>
      <c r="N238" s="1917"/>
      <c r="O238" s="1919"/>
      <c r="P238" s="1891"/>
      <c r="Q238" s="1891"/>
      <c r="R238" s="1891"/>
      <c r="S238" s="1891"/>
      <c r="T238" s="1891"/>
      <c r="U238" s="1891"/>
      <c r="V238" s="1891"/>
      <c r="W238" s="1891"/>
      <c r="X238" s="1891"/>
      <c r="Y238" s="1891"/>
      <c r="Z238" s="1894"/>
      <c r="AA238" s="1895"/>
    </row>
    <row r="239" spans="1:27">
      <c r="A239" s="1900"/>
      <c r="B239" s="1869" t="s">
        <v>416</v>
      </c>
      <c r="C239" s="1870"/>
      <c r="D239" s="1870"/>
      <c r="E239" s="1870"/>
      <c r="F239" s="1870"/>
      <c r="G239" s="1870"/>
      <c r="H239" s="1870"/>
      <c r="I239" s="1925"/>
      <c r="J239" s="1910"/>
      <c r="K239" s="1909"/>
      <c r="L239" s="1913"/>
      <c r="M239" s="1930" t="s">
        <v>152</v>
      </c>
      <c r="N239" s="1942">
        <f>SUM(P239:Y242)</f>
        <v>198871</v>
      </c>
      <c r="O239" s="1919" t="s">
        <v>117</v>
      </c>
      <c r="P239" s="1892">
        <v>118186</v>
      </c>
      <c r="Q239" s="1892">
        <v>80685</v>
      </c>
      <c r="R239" s="1892">
        <v>0</v>
      </c>
      <c r="S239" s="1892">
        <v>0</v>
      </c>
      <c r="T239" s="1892">
        <v>0</v>
      </c>
      <c r="U239" s="1892">
        <v>0</v>
      </c>
      <c r="V239" s="1892">
        <v>0</v>
      </c>
      <c r="W239" s="1892">
        <v>0</v>
      </c>
      <c r="X239" s="1892">
        <v>0</v>
      </c>
      <c r="Y239" s="1892">
        <v>0</v>
      </c>
      <c r="Z239" s="1896"/>
      <c r="AA239" s="1897"/>
    </row>
    <row r="240" spans="1:27">
      <c r="A240" s="1900"/>
      <c r="B240" s="1926"/>
      <c r="C240" s="1927"/>
      <c r="D240" s="1927"/>
      <c r="E240" s="1927"/>
      <c r="F240" s="1927"/>
      <c r="G240" s="1927"/>
      <c r="H240" s="1927"/>
      <c r="I240" s="1928"/>
      <c r="J240" s="1910"/>
      <c r="K240" s="1909"/>
      <c r="L240" s="1913"/>
      <c r="M240" s="1930"/>
      <c r="N240" s="1919"/>
      <c r="O240" s="1919"/>
      <c r="P240" s="1892"/>
      <c r="Q240" s="1892"/>
      <c r="R240" s="1892"/>
      <c r="S240" s="1892"/>
      <c r="T240" s="1892"/>
      <c r="U240" s="1892"/>
      <c r="V240" s="1892"/>
      <c r="W240" s="1892"/>
      <c r="X240" s="1892"/>
      <c r="Y240" s="1892"/>
      <c r="Z240" s="1885"/>
      <c r="AA240" s="1886"/>
    </row>
    <row r="241" spans="1:27" ht="10.5" customHeight="1">
      <c r="A241" s="1900"/>
      <c r="B241" s="1926"/>
      <c r="C241" s="1927"/>
      <c r="D241" s="1927"/>
      <c r="E241" s="1927"/>
      <c r="F241" s="1927"/>
      <c r="G241" s="1927"/>
      <c r="H241" s="1927"/>
      <c r="I241" s="1928"/>
      <c r="J241" s="1910"/>
      <c r="K241" s="1909"/>
      <c r="L241" s="1931">
        <v>79297</v>
      </c>
      <c r="M241" s="1930"/>
      <c r="N241" s="1919"/>
      <c r="O241" s="1919"/>
      <c r="P241" s="1892"/>
      <c r="Q241" s="1892"/>
      <c r="R241" s="1892"/>
      <c r="S241" s="1892"/>
      <c r="T241" s="1892"/>
      <c r="U241" s="1892"/>
      <c r="V241" s="1892"/>
      <c r="W241" s="1892"/>
      <c r="X241" s="1892"/>
      <c r="Y241" s="1892"/>
      <c r="Z241" s="1885" t="s">
        <v>163</v>
      </c>
      <c r="AA241" s="1886">
        <f>P235</f>
        <v>139043</v>
      </c>
    </row>
    <row r="242" spans="1:27" hidden="1">
      <c r="A242" s="1900"/>
      <c r="B242" s="1873"/>
      <c r="C242" s="1874"/>
      <c r="D242" s="1874"/>
      <c r="E242" s="1874"/>
      <c r="F242" s="1874"/>
      <c r="G242" s="1874"/>
      <c r="H242" s="1874"/>
      <c r="I242" s="1929"/>
      <c r="J242" s="1910"/>
      <c r="K242" s="1909"/>
      <c r="L242" s="1931"/>
      <c r="M242" s="1930"/>
      <c r="N242" s="1919"/>
      <c r="O242" s="1919"/>
      <c r="P242" s="1892"/>
      <c r="Q242" s="1892"/>
      <c r="R242" s="1892"/>
      <c r="S242" s="1892"/>
      <c r="T242" s="1892"/>
      <c r="U242" s="1892"/>
      <c r="V242" s="1892"/>
      <c r="W242" s="1892"/>
      <c r="X242" s="1892"/>
      <c r="Y242" s="1892"/>
      <c r="Z242" s="1885"/>
      <c r="AA242" s="1886"/>
    </row>
    <row r="243" spans="1:27">
      <c r="A243" s="1900"/>
      <c r="B243" s="1933" t="s">
        <v>417</v>
      </c>
      <c r="C243" s="1934"/>
      <c r="D243" s="1934"/>
      <c r="E243" s="1934"/>
      <c r="F243" s="1934"/>
      <c r="G243" s="1934"/>
      <c r="H243" s="1934"/>
      <c r="I243" s="1935"/>
      <c r="J243" s="1909"/>
      <c r="K243" s="1909"/>
      <c r="L243" s="1931"/>
      <c r="M243" s="1939" t="s">
        <v>129</v>
      </c>
      <c r="N243" s="1942">
        <f>SUM(P243:Y246)</f>
        <v>35095</v>
      </c>
      <c r="O243" s="1919" t="s">
        <v>117</v>
      </c>
      <c r="P243" s="1892">
        <v>20857</v>
      </c>
      <c r="Q243" s="1892">
        <v>14238</v>
      </c>
      <c r="R243" s="1892">
        <v>0</v>
      </c>
      <c r="S243" s="1892">
        <v>0</v>
      </c>
      <c r="T243" s="1892">
        <v>0</v>
      </c>
      <c r="U243" s="1892">
        <v>0</v>
      </c>
      <c r="V243" s="1892">
        <v>0</v>
      </c>
      <c r="W243" s="1892">
        <v>0</v>
      </c>
      <c r="X243" s="1892">
        <v>0</v>
      </c>
      <c r="Y243" s="1892">
        <v>0</v>
      </c>
      <c r="Z243" s="1885" t="s">
        <v>372</v>
      </c>
      <c r="AA243" s="1886">
        <f>Q235</f>
        <v>94923</v>
      </c>
    </row>
    <row r="244" spans="1:27">
      <c r="A244" s="1900"/>
      <c r="B244" s="1933"/>
      <c r="C244" s="1934"/>
      <c r="D244" s="1934"/>
      <c r="E244" s="1934"/>
      <c r="F244" s="1934"/>
      <c r="G244" s="1934"/>
      <c r="H244" s="1934"/>
      <c r="I244" s="1935"/>
      <c r="J244" s="1909"/>
      <c r="K244" s="1909"/>
      <c r="L244" s="1931"/>
      <c r="M244" s="1940"/>
      <c r="N244" s="1919"/>
      <c r="O244" s="1919"/>
      <c r="P244" s="1892"/>
      <c r="Q244" s="1892"/>
      <c r="R244" s="1892"/>
      <c r="S244" s="1892"/>
      <c r="T244" s="1892"/>
      <c r="U244" s="1892"/>
      <c r="V244" s="1892"/>
      <c r="W244" s="1892"/>
      <c r="X244" s="1892"/>
      <c r="Y244" s="1892"/>
      <c r="Z244" s="1885"/>
      <c r="AA244" s="1886"/>
    </row>
    <row r="245" spans="1:27">
      <c r="A245" s="1900"/>
      <c r="B245" s="1933"/>
      <c r="C245" s="1934"/>
      <c r="D245" s="1934"/>
      <c r="E245" s="1934"/>
      <c r="F245" s="1934"/>
      <c r="G245" s="1934"/>
      <c r="H245" s="1934"/>
      <c r="I245" s="1935"/>
      <c r="J245" s="1909"/>
      <c r="K245" s="1909"/>
      <c r="L245" s="1931"/>
      <c r="M245" s="1940"/>
      <c r="N245" s="1919"/>
      <c r="O245" s="1919"/>
      <c r="P245" s="1892"/>
      <c r="Q245" s="1892"/>
      <c r="R245" s="1892"/>
      <c r="S245" s="1892"/>
      <c r="T245" s="1892"/>
      <c r="U245" s="1892"/>
      <c r="V245" s="1892"/>
      <c r="W245" s="1892"/>
      <c r="X245" s="1892"/>
      <c r="Y245" s="1892"/>
      <c r="Z245" s="1887"/>
      <c r="AA245" s="1886"/>
    </row>
    <row r="246" spans="1:27" ht="2.25" customHeight="1" thickBot="1">
      <c r="A246" s="1901"/>
      <c r="B246" s="1936"/>
      <c r="C246" s="1937"/>
      <c r="D246" s="1937"/>
      <c r="E246" s="1937"/>
      <c r="F246" s="1937"/>
      <c r="G246" s="1937"/>
      <c r="H246" s="1937"/>
      <c r="I246" s="1938"/>
      <c r="J246" s="1911"/>
      <c r="K246" s="1911"/>
      <c r="L246" s="1932"/>
      <c r="M246" s="1941"/>
      <c r="N246" s="1920"/>
      <c r="O246" s="1920"/>
      <c r="P246" s="1893"/>
      <c r="Q246" s="1893"/>
      <c r="R246" s="1893"/>
      <c r="S246" s="1893"/>
      <c r="T246" s="1893"/>
      <c r="U246" s="1893"/>
      <c r="V246" s="1893"/>
      <c r="W246" s="1893"/>
      <c r="X246" s="1893"/>
      <c r="Y246" s="1893"/>
      <c r="Z246" s="1888"/>
      <c r="AA246" s="1889"/>
    </row>
    <row r="247" spans="1:27" ht="10.5" customHeight="1" thickTop="1" thickBot="1">
      <c r="A247" s="844"/>
      <c r="B247" s="845"/>
      <c r="C247" s="845"/>
      <c r="D247" s="845"/>
      <c r="E247" s="845"/>
      <c r="F247" s="845"/>
      <c r="G247" s="845"/>
      <c r="H247" s="845"/>
      <c r="I247" s="845"/>
      <c r="J247" s="846"/>
      <c r="K247" s="846"/>
      <c r="L247" s="828"/>
      <c r="M247" s="840"/>
      <c r="N247" s="846"/>
      <c r="O247" s="846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826"/>
      <c r="AA247" s="827"/>
    </row>
    <row r="248" spans="1:27" ht="13.5" customHeight="1" thickTop="1">
      <c r="A248" s="1898">
        <v>17</v>
      </c>
      <c r="B248" s="1902" t="s">
        <v>106</v>
      </c>
      <c r="C248" s="1903"/>
      <c r="D248" s="1903">
        <v>853</v>
      </c>
      <c r="E248" s="1903"/>
      <c r="F248" s="1906" t="s">
        <v>418</v>
      </c>
      <c r="G248" s="1906"/>
      <c r="H248" s="1906"/>
      <c r="I248" s="1906"/>
      <c r="J248" s="1908">
        <v>2012</v>
      </c>
      <c r="K248" s="1908">
        <v>2014</v>
      </c>
      <c r="L248" s="1912">
        <f>SUM(N248,L254)</f>
        <v>182092</v>
      </c>
      <c r="M248" s="1914" t="s">
        <v>125</v>
      </c>
      <c r="N248" s="1916">
        <f>SUM(N252:N259)</f>
        <v>148712</v>
      </c>
      <c r="O248" s="1918" t="s">
        <v>117</v>
      </c>
      <c r="P248" s="1890">
        <f>SUM(P252:P259)</f>
        <v>87188</v>
      </c>
      <c r="Q248" s="1890">
        <f>SUM(Q252:Q259)</f>
        <v>61524</v>
      </c>
      <c r="R248" s="1890">
        <f>SUM(R252:R259)</f>
        <v>0</v>
      </c>
      <c r="S248" s="1890">
        <f t="shared" ref="S248:Y248" si="18">SUM(S252:S259)</f>
        <v>0</v>
      </c>
      <c r="T248" s="1890">
        <f t="shared" si="18"/>
        <v>0</v>
      </c>
      <c r="U248" s="1890">
        <f t="shared" si="18"/>
        <v>0</v>
      </c>
      <c r="V248" s="1890">
        <f t="shared" si="18"/>
        <v>0</v>
      </c>
      <c r="W248" s="1890">
        <f t="shared" si="18"/>
        <v>0</v>
      </c>
      <c r="X248" s="1890">
        <f t="shared" si="18"/>
        <v>0</v>
      </c>
      <c r="Y248" s="1890">
        <f t="shared" si="18"/>
        <v>0</v>
      </c>
      <c r="Z248" s="1877">
        <f>SUM(AA252:AA259)</f>
        <v>148712</v>
      </c>
      <c r="AA248" s="1878"/>
    </row>
    <row r="249" spans="1:27" ht="35.25" customHeight="1">
      <c r="A249" s="1899"/>
      <c r="B249" s="1904"/>
      <c r="C249" s="1905"/>
      <c r="D249" s="1905"/>
      <c r="E249" s="1905"/>
      <c r="F249" s="1907"/>
      <c r="G249" s="1907"/>
      <c r="H249" s="1907"/>
      <c r="I249" s="1907"/>
      <c r="J249" s="1909"/>
      <c r="K249" s="1909"/>
      <c r="L249" s="1913"/>
      <c r="M249" s="1915"/>
      <c r="N249" s="1917"/>
      <c r="O249" s="1919"/>
      <c r="P249" s="1891"/>
      <c r="Q249" s="1891"/>
      <c r="R249" s="1891"/>
      <c r="S249" s="1891"/>
      <c r="T249" s="1891"/>
      <c r="U249" s="1891"/>
      <c r="V249" s="1891"/>
      <c r="W249" s="1891"/>
      <c r="X249" s="1891"/>
      <c r="Y249" s="1891"/>
      <c r="Z249" s="1879"/>
      <c r="AA249" s="1880"/>
    </row>
    <row r="250" spans="1:27" ht="12.75" customHeight="1">
      <c r="A250" s="1899"/>
      <c r="B250" s="1921" t="s">
        <v>112</v>
      </c>
      <c r="C250" s="1919"/>
      <c r="D250" s="1919">
        <v>85306</v>
      </c>
      <c r="E250" s="1919"/>
      <c r="F250" s="1907" t="s">
        <v>420</v>
      </c>
      <c r="G250" s="1907"/>
      <c r="H250" s="1907"/>
      <c r="I250" s="1907"/>
      <c r="J250" s="1909"/>
      <c r="K250" s="1909"/>
      <c r="L250" s="1913"/>
      <c r="M250" s="1915"/>
      <c r="N250" s="1917"/>
      <c r="O250" s="1919"/>
      <c r="P250" s="1891"/>
      <c r="Q250" s="1891"/>
      <c r="R250" s="1891"/>
      <c r="S250" s="1891"/>
      <c r="T250" s="1891"/>
      <c r="U250" s="1891"/>
      <c r="V250" s="1891"/>
      <c r="W250" s="1891"/>
      <c r="X250" s="1891"/>
      <c r="Y250" s="1891"/>
      <c r="Z250" s="1879"/>
      <c r="AA250" s="1880"/>
    </row>
    <row r="251" spans="1:27">
      <c r="A251" s="1899"/>
      <c r="B251" s="1922"/>
      <c r="C251" s="1923"/>
      <c r="D251" s="1923"/>
      <c r="E251" s="1923"/>
      <c r="F251" s="1924"/>
      <c r="G251" s="1924"/>
      <c r="H251" s="1924"/>
      <c r="I251" s="1924"/>
      <c r="J251" s="1909"/>
      <c r="K251" s="1909"/>
      <c r="L251" s="1913"/>
      <c r="M251" s="1915"/>
      <c r="N251" s="1917"/>
      <c r="O251" s="1919"/>
      <c r="P251" s="1891"/>
      <c r="Q251" s="1891"/>
      <c r="R251" s="1891"/>
      <c r="S251" s="1891"/>
      <c r="T251" s="1891"/>
      <c r="U251" s="1891"/>
      <c r="V251" s="1891"/>
      <c r="W251" s="1891"/>
      <c r="X251" s="1891"/>
      <c r="Y251" s="1891"/>
      <c r="Z251" s="1894"/>
      <c r="AA251" s="1895"/>
    </row>
    <row r="252" spans="1:27" ht="12.75" customHeight="1">
      <c r="A252" s="1900"/>
      <c r="B252" s="1869" t="s">
        <v>416</v>
      </c>
      <c r="C252" s="1870"/>
      <c r="D252" s="1870"/>
      <c r="E252" s="1870"/>
      <c r="F252" s="1870"/>
      <c r="G252" s="1870"/>
      <c r="H252" s="1870"/>
      <c r="I252" s="1925"/>
      <c r="J252" s="1910"/>
      <c r="K252" s="1909"/>
      <c r="L252" s="1913"/>
      <c r="M252" s="1930" t="s">
        <v>152</v>
      </c>
      <c r="N252" s="1942">
        <f>SUM(P252:Y255)</f>
        <v>126406</v>
      </c>
      <c r="O252" s="1919" t="s">
        <v>117</v>
      </c>
      <c r="P252" s="1892">
        <v>74111</v>
      </c>
      <c r="Q252" s="1892">
        <v>52295</v>
      </c>
      <c r="R252" s="1892">
        <v>0</v>
      </c>
      <c r="S252" s="1892">
        <v>0</v>
      </c>
      <c r="T252" s="1892">
        <v>0</v>
      </c>
      <c r="U252" s="1892">
        <v>0</v>
      </c>
      <c r="V252" s="1892">
        <v>0</v>
      </c>
      <c r="W252" s="1892">
        <v>0</v>
      </c>
      <c r="X252" s="1892">
        <v>0</v>
      </c>
      <c r="Y252" s="1892">
        <v>0</v>
      </c>
      <c r="Z252" s="1896"/>
      <c r="AA252" s="1897"/>
    </row>
    <row r="253" spans="1:27" ht="10.5" customHeight="1">
      <c r="A253" s="1900"/>
      <c r="B253" s="1926"/>
      <c r="C253" s="1927"/>
      <c r="D253" s="1927"/>
      <c r="E253" s="1927"/>
      <c r="F253" s="1927"/>
      <c r="G253" s="1927"/>
      <c r="H253" s="1927"/>
      <c r="I253" s="1928"/>
      <c r="J253" s="1910"/>
      <c r="K253" s="1909"/>
      <c r="L253" s="1913"/>
      <c r="M253" s="1930"/>
      <c r="N253" s="1919"/>
      <c r="O253" s="1919"/>
      <c r="P253" s="1892"/>
      <c r="Q253" s="1892"/>
      <c r="R253" s="1892"/>
      <c r="S253" s="1892"/>
      <c r="T253" s="1892"/>
      <c r="U253" s="1892"/>
      <c r="V253" s="1892"/>
      <c r="W253" s="1892"/>
      <c r="X253" s="1892"/>
      <c r="Y253" s="1892"/>
      <c r="Z253" s="1885"/>
      <c r="AA253" s="1886"/>
    </row>
    <row r="254" spans="1:27" hidden="1">
      <c r="A254" s="1900"/>
      <c r="B254" s="1926"/>
      <c r="C254" s="1927"/>
      <c r="D254" s="1927"/>
      <c r="E254" s="1927"/>
      <c r="F254" s="1927"/>
      <c r="G254" s="1927"/>
      <c r="H254" s="1927"/>
      <c r="I254" s="1928"/>
      <c r="J254" s="1910"/>
      <c r="K254" s="1909"/>
      <c r="L254" s="1931">
        <v>33380</v>
      </c>
      <c r="M254" s="1930"/>
      <c r="N254" s="1919"/>
      <c r="O254" s="1919"/>
      <c r="P254" s="1892"/>
      <c r="Q254" s="1892"/>
      <c r="R254" s="1892"/>
      <c r="S254" s="1892"/>
      <c r="T254" s="1892"/>
      <c r="U254" s="1892"/>
      <c r="V254" s="1892"/>
      <c r="W254" s="1892"/>
      <c r="X254" s="1892"/>
      <c r="Y254" s="1892"/>
      <c r="Z254" s="1885" t="s">
        <v>163</v>
      </c>
      <c r="AA254" s="1886">
        <f>P248</f>
        <v>87188</v>
      </c>
    </row>
    <row r="255" spans="1:27">
      <c r="A255" s="1900"/>
      <c r="B255" s="1873"/>
      <c r="C255" s="1874"/>
      <c r="D255" s="1874"/>
      <c r="E255" s="1874"/>
      <c r="F255" s="1874"/>
      <c r="G255" s="1874"/>
      <c r="H255" s="1874"/>
      <c r="I255" s="1929"/>
      <c r="J255" s="1910"/>
      <c r="K255" s="1909"/>
      <c r="L255" s="1931"/>
      <c r="M255" s="1930"/>
      <c r="N255" s="1919"/>
      <c r="O255" s="1919"/>
      <c r="P255" s="1892"/>
      <c r="Q255" s="1892"/>
      <c r="R255" s="1892"/>
      <c r="S255" s="1892"/>
      <c r="T255" s="1892"/>
      <c r="U255" s="1892"/>
      <c r="V255" s="1892"/>
      <c r="W255" s="1892"/>
      <c r="X255" s="1892"/>
      <c r="Y255" s="1892"/>
      <c r="Z255" s="1885"/>
      <c r="AA255" s="1886"/>
    </row>
    <row r="256" spans="1:27" ht="12.75" customHeight="1">
      <c r="A256" s="1900"/>
      <c r="B256" s="1933" t="s">
        <v>417</v>
      </c>
      <c r="C256" s="1934"/>
      <c r="D256" s="1934"/>
      <c r="E256" s="1934"/>
      <c r="F256" s="1934"/>
      <c r="G256" s="1934"/>
      <c r="H256" s="1934"/>
      <c r="I256" s="1935"/>
      <c r="J256" s="1909"/>
      <c r="K256" s="1909"/>
      <c r="L256" s="1931"/>
      <c r="M256" s="1939" t="s">
        <v>129</v>
      </c>
      <c r="N256" s="1942">
        <f>SUM(P256:Y259)</f>
        <v>22306</v>
      </c>
      <c r="O256" s="1919" t="s">
        <v>117</v>
      </c>
      <c r="P256" s="1892">
        <v>13077</v>
      </c>
      <c r="Q256" s="1892">
        <v>9229</v>
      </c>
      <c r="R256" s="1892">
        <v>0</v>
      </c>
      <c r="S256" s="1892">
        <v>0</v>
      </c>
      <c r="T256" s="1892">
        <v>0</v>
      </c>
      <c r="U256" s="1892">
        <v>0</v>
      </c>
      <c r="V256" s="1892">
        <v>0</v>
      </c>
      <c r="W256" s="1892">
        <v>0</v>
      </c>
      <c r="X256" s="1892">
        <v>0</v>
      </c>
      <c r="Y256" s="1892">
        <v>0</v>
      </c>
      <c r="Z256" s="1885" t="s">
        <v>372</v>
      </c>
      <c r="AA256" s="1886">
        <f>Q248</f>
        <v>61524</v>
      </c>
    </row>
    <row r="257" spans="1:27">
      <c r="A257" s="1900"/>
      <c r="B257" s="1933"/>
      <c r="C257" s="1934"/>
      <c r="D257" s="1934"/>
      <c r="E257" s="1934"/>
      <c r="F257" s="1934"/>
      <c r="G257" s="1934"/>
      <c r="H257" s="1934"/>
      <c r="I257" s="1935"/>
      <c r="J257" s="1909"/>
      <c r="K257" s="1909"/>
      <c r="L257" s="1931"/>
      <c r="M257" s="1940"/>
      <c r="N257" s="1919"/>
      <c r="O257" s="1919"/>
      <c r="P257" s="1892"/>
      <c r="Q257" s="1892"/>
      <c r="R257" s="1892"/>
      <c r="S257" s="1892"/>
      <c r="T257" s="1892"/>
      <c r="U257" s="1892"/>
      <c r="V257" s="1892"/>
      <c r="W257" s="1892"/>
      <c r="X257" s="1892"/>
      <c r="Y257" s="1892"/>
      <c r="Z257" s="1885"/>
      <c r="AA257" s="1886"/>
    </row>
    <row r="258" spans="1:27">
      <c r="A258" s="1900"/>
      <c r="B258" s="1933"/>
      <c r="C258" s="1934"/>
      <c r="D258" s="1934"/>
      <c r="E258" s="1934"/>
      <c r="F258" s="1934"/>
      <c r="G258" s="1934"/>
      <c r="H258" s="1934"/>
      <c r="I258" s="1935"/>
      <c r="J258" s="1909"/>
      <c r="K258" s="1909"/>
      <c r="L258" s="1931"/>
      <c r="M258" s="1940"/>
      <c r="N258" s="1919"/>
      <c r="O258" s="1919"/>
      <c r="P258" s="1892"/>
      <c r="Q258" s="1892"/>
      <c r="R258" s="1892"/>
      <c r="S258" s="1892"/>
      <c r="T258" s="1892"/>
      <c r="U258" s="1892"/>
      <c r="V258" s="1892"/>
      <c r="W258" s="1892"/>
      <c r="X258" s="1892"/>
      <c r="Y258" s="1892"/>
      <c r="Z258" s="1887"/>
      <c r="AA258" s="1886"/>
    </row>
    <row r="259" spans="1:27" ht="9" customHeight="1" thickBot="1">
      <c r="A259" s="1901"/>
      <c r="B259" s="1936"/>
      <c r="C259" s="1937"/>
      <c r="D259" s="1937"/>
      <c r="E259" s="1937"/>
      <c r="F259" s="1937"/>
      <c r="G259" s="1937"/>
      <c r="H259" s="1937"/>
      <c r="I259" s="1938"/>
      <c r="J259" s="1911"/>
      <c r="K259" s="1911"/>
      <c r="L259" s="1932"/>
      <c r="M259" s="1941"/>
      <c r="N259" s="1920"/>
      <c r="O259" s="1920"/>
      <c r="P259" s="1893"/>
      <c r="Q259" s="1893"/>
      <c r="R259" s="1893"/>
      <c r="S259" s="1893"/>
      <c r="T259" s="1893"/>
      <c r="U259" s="1893"/>
      <c r="V259" s="1893"/>
      <c r="W259" s="1893"/>
      <c r="X259" s="1893"/>
      <c r="Y259" s="1893"/>
      <c r="Z259" s="1888"/>
      <c r="AA259" s="1889"/>
    </row>
    <row r="260" spans="1:27" ht="9" customHeight="1" thickTop="1" thickBot="1">
      <c r="A260" s="1151"/>
      <c r="B260" s="1150"/>
      <c r="C260" s="1150"/>
      <c r="D260" s="1150"/>
      <c r="E260" s="1150"/>
      <c r="F260" s="1150"/>
      <c r="G260" s="1150"/>
      <c r="H260" s="1150"/>
      <c r="I260" s="1150"/>
      <c r="J260" s="1152"/>
      <c r="K260" s="1152"/>
      <c r="L260" s="825"/>
      <c r="M260" s="839"/>
      <c r="N260" s="1152"/>
      <c r="O260" s="1152"/>
      <c r="P260" s="658"/>
      <c r="Q260" s="658"/>
      <c r="R260" s="658"/>
      <c r="S260" s="658"/>
      <c r="T260" s="658"/>
      <c r="U260" s="658"/>
      <c r="V260" s="658"/>
      <c r="W260" s="658"/>
      <c r="X260" s="658"/>
      <c r="Y260" s="658"/>
      <c r="Z260" s="826"/>
      <c r="AA260" s="644"/>
    </row>
    <row r="261" spans="1:27" ht="9" customHeight="1" thickTop="1">
      <c r="A261" s="1898">
        <v>18</v>
      </c>
      <c r="B261" s="1902" t="s">
        <v>106</v>
      </c>
      <c r="C261" s="1903"/>
      <c r="D261" s="1903">
        <v>853</v>
      </c>
      <c r="E261" s="1903"/>
      <c r="F261" s="1906" t="s">
        <v>418</v>
      </c>
      <c r="G261" s="1906"/>
      <c r="H261" s="1906"/>
      <c r="I261" s="1906"/>
      <c r="J261" s="1908">
        <v>2013</v>
      </c>
      <c r="K261" s="1908">
        <v>2014</v>
      </c>
      <c r="L261" s="1912">
        <f>SUM(N261,L267)</f>
        <v>503350</v>
      </c>
      <c r="M261" s="1914" t="s">
        <v>125</v>
      </c>
      <c r="N261" s="1916">
        <f>SUM(N265:N272)</f>
        <v>503350</v>
      </c>
      <c r="O261" s="1918" t="s">
        <v>117</v>
      </c>
      <c r="P261" s="1890">
        <f t="shared" ref="P261:Y261" si="19">SUM(P265:P272)</f>
        <v>469365</v>
      </c>
      <c r="Q261" s="1890">
        <f t="shared" si="19"/>
        <v>33985</v>
      </c>
      <c r="R261" s="1890">
        <f t="shared" si="19"/>
        <v>0</v>
      </c>
      <c r="S261" s="1890">
        <f t="shared" si="19"/>
        <v>0</v>
      </c>
      <c r="T261" s="1890">
        <f t="shared" si="19"/>
        <v>0</v>
      </c>
      <c r="U261" s="1890">
        <f t="shared" si="19"/>
        <v>0</v>
      </c>
      <c r="V261" s="1890">
        <f t="shared" si="19"/>
        <v>0</v>
      </c>
      <c r="W261" s="1890">
        <f t="shared" si="19"/>
        <v>0</v>
      </c>
      <c r="X261" s="1890">
        <f t="shared" si="19"/>
        <v>0</v>
      </c>
      <c r="Y261" s="1890">
        <f t="shared" si="19"/>
        <v>0</v>
      </c>
      <c r="Z261" s="1877">
        <f>SUM(AA265:AA272)</f>
        <v>503350</v>
      </c>
      <c r="AA261" s="1878"/>
    </row>
    <row r="262" spans="1:27" ht="27" customHeight="1">
      <c r="A262" s="1899"/>
      <c r="B262" s="1904"/>
      <c r="C262" s="1905"/>
      <c r="D262" s="1905"/>
      <c r="E262" s="1905"/>
      <c r="F262" s="1907"/>
      <c r="G262" s="1907"/>
      <c r="H262" s="1907"/>
      <c r="I262" s="1907"/>
      <c r="J262" s="1909"/>
      <c r="K262" s="1909"/>
      <c r="L262" s="1913"/>
      <c r="M262" s="1915"/>
      <c r="N262" s="1917"/>
      <c r="O262" s="1919"/>
      <c r="P262" s="1891"/>
      <c r="Q262" s="1891"/>
      <c r="R262" s="1891"/>
      <c r="S262" s="1891"/>
      <c r="T262" s="1891"/>
      <c r="U262" s="1891"/>
      <c r="V262" s="1891"/>
      <c r="W262" s="1891"/>
      <c r="X262" s="1891"/>
      <c r="Y262" s="1891"/>
      <c r="Z262" s="1879"/>
      <c r="AA262" s="1880"/>
    </row>
    <row r="263" spans="1:27" ht="9" customHeight="1">
      <c r="A263" s="1899"/>
      <c r="B263" s="1921" t="s">
        <v>112</v>
      </c>
      <c r="C263" s="1919"/>
      <c r="D263" s="1919">
        <v>85395</v>
      </c>
      <c r="E263" s="1919"/>
      <c r="F263" s="1907" t="s">
        <v>139</v>
      </c>
      <c r="G263" s="1907"/>
      <c r="H263" s="1907"/>
      <c r="I263" s="1907"/>
      <c r="J263" s="1909"/>
      <c r="K263" s="1909"/>
      <c r="L263" s="1913"/>
      <c r="M263" s="1915"/>
      <c r="N263" s="1917"/>
      <c r="O263" s="1919"/>
      <c r="P263" s="1891"/>
      <c r="Q263" s="1891"/>
      <c r="R263" s="1891"/>
      <c r="S263" s="1891"/>
      <c r="T263" s="1891"/>
      <c r="U263" s="1891"/>
      <c r="V263" s="1891"/>
      <c r="W263" s="1891"/>
      <c r="X263" s="1891"/>
      <c r="Y263" s="1891"/>
      <c r="Z263" s="1879"/>
      <c r="AA263" s="1880"/>
    </row>
    <row r="264" spans="1:27" ht="9" customHeight="1">
      <c r="A264" s="1899"/>
      <c r="B264" s="1922"/>
      <c r="C264" s="1923"/>
      <c r="D264" s="1923"/>
      <c r="E264" s="1923"/>
      <c r="F264" s="1924"/>
      <c r="G264" s="1924"/>
      <c r="H264" s="1924"/>
      <c r="I264" s="1924"/>
      <c r="J264" s="1909"/>
      <c r="K264" s="1909"/>
      <c r="L264" s="1913"/>
      <c r="M264" s="1915"/>
      <c r="N264" s="1917"/>
      <c r="O264" s="1919"/>
      <c r="P264" s="1891"/>
      <c r="Q264" s="1891"/>
      <c r="R264" s="1891"/>
      <c r="S264" s="1891"/>
      <c r="T264" s="1891"/>
      <c r="U264" s="1891"/>
      <c r="V264" s="1891"/>
      <c r="W264" s="1891"/>
      <c r="X264" s="1891"/>
      <c r="Y264" s="1891"/>
      <c r="Z264" s="1894"/>
      <c r="AA264" s="1895"/>
    </row>
    <row r="265" spans="1:27" ht="9" customHeight="1">
      <c r="A265" s="1900"/>
      <c r="B265" s="1869" t="s">
        <v>479</v>
      </c>
      <c r="C265" s="1870"/>
      <c r="D265" s="1870"/>
      <c r="E265" s="1870"/>
      <c r="F265" s="1870"/>
      <c r="G265" s="1870"/>
      <c r="H265" s="1870"/>
      <c r="I265" s="1925"/>
      <c r="J265" s="1910"/>
      <c r="K265" s="1909"/>
      <c r="L265" s="1913"/>
      <c r="M265" s="1930" t="s">
        <v>152</v>
      </c>
      <c r="N265" s="1942">
        <f>SUM(P265:Y268)</f>
        <v>427847</v>
      </c>
      <c r="O265" s="1919" t="s">
        <v>117</v>
      </c>
      <c r="P265" s="1892">
        <v>398960</v>
      </c>
      <c r="Q265" s="1892">
        <v>28887</v>
      </c>
      <c r="R265" s="1892">
        <v>0</v>
      </c>
      <c r="S265" s="1892">
        <v>0</v>
      </c>
      <c r="T265" s="1892">
        <v>0</v>
      </c>
      <c r="U265" s="1892">
        <v>0</v>
      </c>
      <c r="V265" s="1892">
        <v>0</v>
      </c>
      <c r="W265" s="1892">
        <v>0</v>
      </c>
      <c r="X265" s="1892">
        <v>0</v>
      </c>
      <c r="Y265" s="1892">
        <v>0</v>
      </c>
      <c r="Z265" s="1896"/>
      <c r="AA265" s="1897"/>
    </row>
    <row r="266" spans="1:27" ht="9" customHeight="1">
      <c r="A266" s="1900"/>
      <c r="B266" s="1926"/>
      <c r="C266" s="1927"/>
      <c r="D266" s="1927"/>
      <c r="E266" s="1927"/>
      <c r="F266" s="1927"/>
      <c r="G266" s="1927"/>
      <c r="H266" s="1927"/>
      <c r="I266" s="1928"/>
      <c r="J266" s="1910"/>
      <c r="K266" s="1909"/>
      <c r="L266" s="1913"/>
      <c r="M266" s="1930"/>
      <c r="N266" s="1919"/>
      <c r="O266" s="1919"/>
      <c r="P266" s="1892"/>
      <c r="Q266" s="1892"/>
      <c r="R266" s="1892"/>
      <c r="S266" s="1892"/>
      <c r="T266" s="1892"/>
      <c r="U266" s="1892"/>
      <c r="V266" s="1892"/>
      <c r="W266" s="1892"/>
      <c r="X266" s="1892"/>
      <c r="Y266" s="1892"/>
      <c r="Z266" s="1885"/>
      <c r="AA266" s="1886"/>
    </row>
    <row r="267" spans="1:27" ht="9" customHeight="1">
      <c r="A267" s="1900"/>
      <c r="B267" s="1926"/>
      <c r="C267" s="1927"/>
      <c r="D267" s="1927"/>
      <c r="E267" s="1927"/>
      <c r="F267" s="1927"/>
      <c r="G267" s="1927"/>
      <c r="H267" s="1927"/>
      <c r="I267" s="1928"/>
      <c r="J267" s="1910"/>
      <c r="K267" s="1909"/>
      <c r="L267" s="1931">
        <v>0</v>
      </c>
      <c r="M267" s="1930"/>
      <c r="N267" s="1919"/>
      <c r="O267" s="1919"/>
      <c r="P267" s="1892"/>
      <c r="Q267" s="1892"/>
      <c r="R267" s="1892"/>
      <c r="S267" s="1892"/>
      <c r="T267" s="1892"/>
      <c r="U267" s="1892"/>
      <c r="V267" s="1892"/>
      <c r="W267" s="1892"/>
      <c r="X267" s="1892"/>
      <c r="Y267" s="1892"/>
      <c r="Z267" s="1885" t="s">
        <v>163</v>
      </c>
      <c r="AA267" s="1886">
        <f>P261</f>
        <v>469365</v>
      </c>
    </row>
    <row r="268" spans="1:27" ht="9" customHeight="1">
      <c r="A268" s="1900"/>
      <c r="B268" s="1873"/>
      <c r="C268" s="1874"/>
      <c r="D268" s="1874"/>
      <c r="E268" s="1874"/>
      <c r="F268" s="1874"/>
      <c r="G268" s="1874"/>
      <c r="H268" s="1874"/>
      <c r="I268" s="1929"/>
      <c r="J268" s="1910"/>
      <c r="K268" s="1909"/>
      <c r="L268" s="1931"/>
      <c r="M268" s="1930"/>
      <c r="N268" s="1919"/>
      <c r="O268" s="1919"/>
      <c r="P268" s="1892"/>
      <c r="Q268" s="1892"/>
      <c r="R268" s="1892"/>
      <c r="S268" s="1892"/>
      <c r="T268" s="1892"/>
      <c r="U268" s="1892"/>
      <c r="V268" s="1892"/>
      <c r="W268" s="1892"/>
      <c r="X268" s="1892"/>
      <c r="Y268" s="1892"/>
      <c r="Z268" s="1885"/>
      <c r="AA268" s="1886"/>
    </row>
    <row r="269" spans="1:27" ht="15" customHeight="1">
      <c r="A269" s="1900"/>
      <c r="B269" s="1933" t="s">
        <v>385</v>
      </c>
      <c r="C269" s="1934"/>
      <c r="D269" s="1934"/>
      <c r="E269" s="1934"/>
      <c r="F269" s="1934"/>
      <c r="G269" s="1934"/>
      <c r="H269" s="1934"/>
      <c r="I269" s="1935"/>
      <c r="J269" s="1909"/>
      <c r="K269" s="1909"/>
      <c r="L269" s="1931"/>
      <c r="M269" s="1939" t="s">
        <v>480</v>
      </c>
      <c r="N269" s="1950">
        <f>SUM(P269:Y272)</f>
        <v>75503</v>
      </c>
      <c r="O269" s="1923" t="s">
        <v>117</v>
      </c>
      <c r="P269" s="1955">
        <v>70405</v>
      </c>
      <c r="Q269" s="1955">
        <v>5098</v>
      </c>
      <c r="R269" s="1955">
        <v>0</v>
      </c>
      <c r="S269" s="1955">
        <v>0</v>
      </c>
      <c r="T269" s="1955">
        <v>0</v>
      </c>
      <c r="U269" s="1955">
        <v>0</v>
      </c>
      <c r="V269" s="1955">
        <v>0</v>
      </c>
      <c r="W269" s="1955">
        <v>0</v>
      </c>
      <c r="X269" s="1955">
        <v>0</v>
      </c>
      <c r="Y269" s="1955">
        <v>0</v>
      </c>
      <c r="Z269" s="1885" t="s">
        <v>372</v>
      </c>
      <c r="AA269" s="1886">
        <f>Q261</f>
        <v>33985</v>
      </c>
    </row>
    <row r="270" spans="1:27" ht="12" customHeight="1">
      <c r="A270" s="1900"/>
      <c r="B270" s="1933"/>
      <c r="C270" s="1934"/>
      <c r="D270" s="1934"/>
      <c r="E270" s="1934"/>
      <c r="F270" s="1934"/>
      <c r="G270" s="1934"/>
      <c r="H270" s="1934"/>
      <c r="I270" s="1935"/>
      <c r="J270" s="1909"/>
      <c r="K270" s="1909"/>
      <c r="L270" s="1931"/>
      <c r="M270" s="1940"/>
      <c r="N270" s="1951"/>
      <c r="O270" s="1909"/>
      <c r="P270" s="1956"/>
      <c r="Q270" s="1956"/>
      <c r="R270" s="1956"/>
      <c r="S270" s="1956"/>
      <c r="T270" s="1956"/>
      <c r="U270" s="1956"/>
      <c r="V270" s="1956"/>
      <c r="W270" s="1956"/>
      <c r="X270" s="1956"/>
      <c r="Y270" s="1956"/>
      <c r="Z270" s="1885"/>
      <c r="AA270" s="1886"/>
    </row>
    <row r="271" spans="1:27" ht="12" customHeight="1">
      <c r="A271" s="1900"/>
      <c r="B271" s="1933"/>
      <c r="C271" s="1934"/>
      <c r="D271" s="1934"/>
      <c r="E271" s="1934"/>
      <c r="F271" s="1934"/>
      <c r="G271" s="1934"/>
      <c r="H271" s="1934"/>
      <c r="I271" s="1935"/>
      <c r="J271" s="1909"/>
      <c r="K271" s="1909"/>
      <c r="L271" s="1931"/>
      <c r="M271" s="1940"/>
      <c r="N271" s="1951"/>
      <c r="O271" s="1909"/>
      <c r="P271" s="1956"/>
      <c r="Q271" s="1956"/>
      <c r="R271" s="1956"/>
      <c r="S271" s="1956"/>
      <c r="T271" s="1956"/>
      <c r="U271" s="1956"/>
      <c r="V271" s="1956"/>
      <c r="W271" s="1956"/>
      <c r="X271" s="1956"/>
      <c r="Y271" s="1956"/>
      <c r="Z271" s="1887"/>
      <c r="AA271" s="1886"/>
    </row>
    <row r="272" spans="1:27" ht="9.75" customHeight="1" thickBot="1">
      <c r="A272" s="1901"/>
      <c r="B272" s="1936"/>
      <c r="C272" s="1937"/>
      <c r="D272" s="1937"/>
      <c r="E272" s="1937"/>
      <c r="F272" s="1937"/>
      <c r="G272" s="1937"/>
      <c r="H272" s="1937"/>
      <c r="I272" s="1938"/>
      <c r="J272" s="1911"/>
      <c r="K272" s="1911"/>
      <c r="L272" s="1932"/>
      <c r="M272" s="1941"/>
      <c r="N272" s="2031"/>
      <c r="O272" s="1911"/>
      <c r="P272" s="1957"/>
      <c r="Q272" s="1957"/>
      <c r="R272" s="1957"/>
      <c r="S272" s="1957"/>
      <c r="T272" s="1957"/>
      <c r="U272" s="1957"/>
      <c r="V272" s="1957"/>
      <c r="W272" s="1957"/>
      <c r="X272" s="1957"/>
      <c r="Y272" s="1957"/>
      <c r="Z272" s="1888"/>
      <c r="AA272" s="1889"/>
    </row>
    <row r="273" spans="1:27" ht="9" customHeight="1" thickTop="1" thickBot="1">
      <c r="A273" s="1151"/>
      <c r="B273" s="1150"/>
      <c r="C273" s="1150"/>
      <c r="D273" s="1150"/>
      <c r="E273" s="1150"/>
      <c r="F273" s="1150"/>
      <c r="G273" s="1150"/>
      <c r="H273" s="1150"/>
      <c r="I273" s="1150"/>
      <c r="J273" s="1152"/>
      <c r="K273" s="1152"/>
      <c r="L273" s="825"/>
      <c r="M273" s="839"/>
      <c r="N273" s="1152"/>
      <c r="O273" s="1152"/>
      <c r="P273" s="658"/>
      <c r="Q273" s="658"/>
      <c r="R273" s="658"/>
      <c r="S273" s="658"/>
      <c r="T273" s="658"/>
      <c r="U273" s="658"/>
      <c r="V273" s="658"/>
      <c r="W273" s="658"/>
      <c r="X273" s="658"/>
      <c r="Y273" s="658"/>
      <c r="Z273" s="826"/>
      <c r="AA273" s="644"/>
    </row>
    <row r="274" spans="1:27" ht="9" customHeight="1" thickTop="1">
      <c r="A274" s="1898">
        <v>19</v>
      </c>
      <c r="B274" s="1902" t="s">
        <v>106</v>
      </c>
      <c r="C274" s="1903"/>
      <c r="D274" s="1903">
        <v>853</v>
      </c>
      <c r="E274" s="1903"/>
      <c r="F274" s="1906" t="s">
        <v>418</v>
      </c>
      <c r="G274" s="1906"/>
      <c r="H274" s="1906"/>
      <c r="I274" s="1906"/>
      <c r="J274" s="1908">
        <v>2013</v>
      </c>
      <c r="K274" s="1908">
        <v>2014</v>
      </c>
      <c r="L274" s="1912">
        <f>SUM(N274,L280)</f>
        <v>1261058</v>
      </c>
      <c r="M274" s="1914" t="s">
        <v>125</v>
      </c>
      <c r="N274" s="1916">
        <f>SUM(N278:N285)</f>
        <v>1261058</v>
      </c>
      <c r="O274" s="1918" t="s">
        <v>117</v>
      </c>
      <c r="P274" s="1890">
        <f>SUM(P278:P285)</f>
        <v>967538</v>
      </c>
      <c r="Q274" s="1890">
        <f>SUM(Q278:Q285)</f>
        <v>293520</v>
      </c>
      <c r="R274" s="1890">
        <f>SUM(R278:R285)</f>
        <v>0</v>
      </c>
      <c r="S274" s="1890">
        <f t="shared" ref="S274:Y274" si="20">SUM(S278:S285)</f>
        <v>0</v>
      </c>
      <c r="T274" s="1890">
        <f t="shared" si="20"/>
        <v>0</v>
      </c>
      <c r="U274" s="1890">
        <f t="shared" si="20"/>
        <v>0</v>
      </c>
      <c r="V274" s="1890">
        <f t="shared" si="20"/>
        <v>0</v>
      </c>
      <c r="W274" s="1890">
        <f t="shared" si="20"/>
        <v>0</v>
      </c>
      <c r="X274" s="1890">
        <f t="shared" si="20"/>
        <v>0</v>
      </c>
      <c r="Y274" s="1890">
        <f t="shared" si="20"/>
        <v>0</v>
      </c>
      <c r="Z274" s="1877">
        <f>SUM(AA278:AA285)</f>
        <v>1261058</v>
      </c>
      <c r="AA274" s="1878"/>
    </row>
    <row r="275" spans="1:27" ht="28.5" customHeight="1">
      <c r="A275" s="1899"/>
      <c r="B275" s="1904"/>
      <c r="C275" s="1905"/>
      <c r="D275" s="1905"/>
      <c r="E275" s="1905"/>
      <c r="F275" s="1907"/>
      <c r="G275" s="1907"/>
      <c r="H275" s="1907"/>
      <c r="I275" s="1907"/>
      <c r="J275" s="1909"/>
      <c r="K275" s="1909"/>
      <c r="L275" s="1913"/>
      <c r="M275" s="1915"/>
      <c r="N275" s="1917"/>
      <c r="O275" s="1919"/>
      <c r="P275" s="1891"/>
      <c r="Q275" s="1891"/>
      <c r="R275" s="1891"/>
      <c r="S275" s="1891"/>
      <c r="T275" s="1891"/>
      <c r="U275" s="1891"/>
      <c r="V275" s="1891"/>
      <c r="W275" s="1891"/>
      <c r="X275" s="1891"/>
      <c r="Y275" s="1891"/>
      <c r="Z275" s="1879"/>
      <c r="AA275" s="1880"/>
    </row>
    <row r="276" spans="1:27" ht="9" customHeight="1">
      <c r="A276" s="1899"/>
      <c r="B276" s="1921" t="s">
        <v>112</v>
      </c>
      <c r="C276" s="1919"/>
      <c r="D276" s="1919">
        <v>85395</v>
      </c>
      <c r="E276" s="1919"/>
      <c r="F276" s="1907" t="s">
        <v>139</v>
      </c>
      <c r="G276" s="1907"/>
      <c r="H276" s="1907"/>
      <c r="I276" s="1907"/>
      <c r="J276" s="1909"/>
      <c r="K276" s="1909"/>
      <c r="L276" s="1913"/>
      <c r="M276" s="1915"/>
      <c r="N276" s="1917"/>
      <c r="O276" s="1919"/>
      <c r="P276" s="1891"/>
      <c r="Q276" s="1891"/>
      <c r="R276" s="1891"/>
      <c r="S276" s="1891"/>
      <c r="T276" s="1891"/>
      <c r="U276" s="1891"/>
      <c r="V276" s="1891"/>
      <c r="W276" s="1891"/>
      <c r="X276" s="1891"/>
      <c r="Y276" s="1891"/>
      <c r="Z276" s="1879"/>
      <c r="AA276" s="1880"/>
    </row>
    <row r="277" spans="1:27" ht="9" customHeight="1">
      <c r="A277" s="1899"/>
      <c r="B277" s="1922"/>
      <c r="C277" s="1923"/>
      <c r="D277" s="1923"/>
      <c r="E277" s="1923"/>
      <c r="F277" s="1924"/>
      <c r="G277" s="1924"/>
      <c r="H277" s="1924"/>
      <c r="I277" s="1924"/>
      <c r="J277" s="1909"/>
      <c r="K277" s="1909"/>
      <c r="L277" s="1913"/>
      <c r="M277" s="1915"/>
      <c r="N277" s="1917"/>
      <c r="O277" s="1919"/>
      <c r="P277" s="1891"/>
      <c r="Q277" s="1891"/>
      <c r="R277" s="1891"/>
      <c r="S277" s="1891"/>
      <c r="T277" s="1891"/>
      <c r="U277" s="1891"/>
      <c r="V277" s="1891"/>
      <c r="W277" s="1891"/>
      <c r="X277" s="1891"/>
      <c r="Y277" s="1891"/>
      <c r="Z277" s="1894"/>
      <c r="AA277" s="1895"/>
    </row>
    <row r="278" spans="1:27" ht="9" customHeight="1">
      <c r="A278" s="1900"/>
      <c r="B278" s="1869" t="s">
        <v>478</v>
      </c>
      <c r="C278" s="1870"/>
      <c r="D278" s="1870"/>
      <c r="E278" s="1870"/>
      <c r="F278" s="1870"/>
      <c r="G278" s="1870"/>
      <c r="H278" s="1870"/>
      <c r="I278" s="1925"/>
      <c r="J278" s="1910"/>
      <c r="K278" s="1909"/>
      <c r="L278" s="1913"/>
      <c r="M278" s="1930" t="s">
        <v>152</v>
      </c>
      <c r="N278" s="1942">
        <f>SUM(P278:Y281)</f>
        <v>1071899</v>
      </c>
      <c r="O278" s="1919" t="s">
        <v>117</v>
      </c>
      <c r="P278" s="1892">
        <v>822407</v>
      </c>
      <c r="Q278" s="1892">
        <v>249492</v>
      </c>
      <c r="R278" s="1892">
        <v>0</v>
      </c>
      <c r="S278" s="1892">
        <v>0</v>
      </c>
      <c r="T278" s="1892">
        <v>0</v>
      </c>
      <c r="U278" s="1892">
        <v>0</v>
      </c>
      <c r="V278" s="1892">
        <v>0</v>
      </c>
      <c r="W278" s="1892">
        <v>0</v>
      </c>
      <c r="X278" s="1892">
        <v>0</v>
      </c>
      <c r="Y278" s="1892">
        <v>0</v>
      </c>
      <c r="Z278" s="1896"/>
      <c r="AA278" s="1897"/>
    </row>
    <row r="279" spans="1:27" ht="9" customHeight="1">
      <c r="A279" s="1900"/>
      <c r="B279" s="1926"/>
      <c r="C279" s="1927"/>
      <c r="D279" s="1927"/>
      <c r="E279" s="1927"/>
      <c r="F279" s="1927"/>
      <c r="G279" s="1927"/>
      <c r="H279" s="1927"/>
      <c r="I279" s="1928"/>
      <c r="J279" s="1910"/>
      <c r="K279" s="1909"/>
      <c r="L279" s="1913"/>
      <c r="M279" s="1930"/>
      <c r="N279" s="1919"/>
      <c r="O279" s="1919"/>
      <c r="P279" s="1892"/>
      <c r="Q279" s="1892"/>
      <c r="R279" s="1892"/>
      <c r="S279" s="1892"/>
      <c r="T279" s="1892"/>
      <c r="U279" s="1892"/>
      <c r="V279" s="1892"/>
      <c r="W279" s="1892"/>
      <c r="X279" s="1892"/>
      <c r="Y279" s="1892"/>
      <c r="Z279" s="1885"/>
      <c r="AA279" s="1886"/>
    </row>
    <row r="280" spans="1:27" ht="9" customHeight="1">
      <c r="A280" s="1900"/>
      <c r="B280" s="1926"/>
      <c r="C280" s="1927"/>
      <c r="D280" s="1927"/>
      <c r="E280" s="1927"/>
      <c r="F280" s="1927"/>
      <c r="G280" s="1927"/>
      <c r="H280" s="1927"/>
      <c r="I280" s="1928"/>
      <c r="J280" s="1910"/>
      <c r="K280" s="1909"/>
      <c r="L280" s="1931">
        <v>0</v>
      </c>
      <c r="M280" s="1930"/>
      <c r="N280" s="1919"/>
      <c r="O280" s="1919"/>
      <c r="P280" s="1892"/>
      <c r="Q280" s="1892"/>
      <c r="R280" s="1892"/>
      <c r="S280" s="1892"/>
      <c r="T280" s="1892"/>
      <c r="U280" s="1892"/>
      <c r="V280" s="1892"/>
      <c r="W280" s="1892"/>
      <c r="X280" s="1892"/>
      <c r="Y280" s="1892"/>
      <c r="Z280" s="1885" t="s">
        <v>163</v>
      </c>
      <c r="AA280" s="1886">
        <f>P274</f>
        <v>967538</v>
      </c>
    </row>
    <row r="281" spans="1:27" ht="9" customHeight="1">
      <c r="A281" s="1900"/>
      <c r="B281" s="1873"/>
      <c r="C281" s="1874"/>
      <c r="D281" s="1874"/>
      <c r="E281" s="1874"/>
      <c r="F281" s="1874"/>
      <c r="G281" s="1874"/>
      <c r="H281" s="1874"/>
      <c r="I281" s="1929"/>
      <c r="J281" s="1910"/>
      <c r="K281" s="1909"/>
      <c r="L281" s="1931"/>
      <c r="M281" s="1930"/>
      <c r="N281" s="1919"/>
      <c r="O281" s="1919"/>
      <c r="P281" s="1892"/>
      <c r="Q281" s="1892"/>
      <c r="R281" s="1892"/>
      <c r="S281" s="1892"/>
      <c r="T281" s="1892"/>
      <c r="U281" s="1892"/>
      <c r="V281" s="1892"/>
      <c r="W281" s="1892"/>
      <c r="X281" s="1892"/>
      <c r="Y281" s="1892"/>
      <c r="Z281" s="1885"/>
      <c r="AA281" s="1886"/>
    </row>
    <row r="282" spans="1:27" ht="15.75" customHeight="1">
      <c r="A282" s="1900"/>
      <c r="B282" s="1933" t="s">
        <v>385</v>
      </c>
      <c r="C282" s="1934"/>
      <c r="D282" s="1934"/>
      <c r="E282" s="1934"/>
      <c r="F282" s="1934"/>
      <c r="G282" s="1934"/>
      <c r="H282" s="1934"/>
      <c r="I282" s="1935"/>
      <c r="J282" s="1909"/>
      <c r="K282" s="1909"/>
      <c r="L282" s="1931"/>
      <c r="M282" s="1939" t="s">
        <v>480</v>
      </c>
      <c r="N282" s="1942">
        <f>SUM(P282:Y285)</f>
        <v>189159</v>
      </c>
      <c r="O282" s="1919" t="s">
        <v>117</v>
      </c>
      <c r="P282" s="1892">
        <v>145131</v>
      </c>
      <c r="Q282" s="1892">
        <v>44028</v>
      </c>
      <c r="R282" s="1892">
        <v>0</v>
      </c>
      <c r="S282" s="1892">
        <v>0</v>
      </c>
      <c r="T282" s="1892">
        <v>0</v>
      </c>
      <c r="U282" s="1892">
        <v>0</v>
      </c>
      <c r="V282" s="1892">
        <v>0</v>
      </c>
      <c r="W282" s="1892">
        <v>0</v>
      </c>
      <c r="X282" s="1892">
        <v>0</v>
      </c>
      <c r="Y282" s="1892">
        <v>0</v>
      </c>
      <c r="Z282" s="1885" t="s">
        <v>372</v>
      </c>
      <c r="AA282" s="1886">
        <f>Q274</f>
        <v>293520</v>
      </c>
    </row>
    <row r="283" spans="1:27" ht="9" customHeight="1">
      <c r="A283" s="1900"/>
      <c r="B283" s="1933"/>
      <c r="C283" s="1934"/>
      <c r="D283" s="1934"/>
      <c r="E283" s="1934"/>
      <c r="F283" s="1934"/>
      <c r="G283" s="1934"/>
      <c r="H283" s="1934"/>
      <c r="I283" s="1935"/>
      <c r="J283" s="1909"/>
      <c r="K283" s="1909"/>
      <c r="L283" s="1931"/>
      <c r="M283" s="1940"/>
      <c r="N283" s="1919"/>
      <c r="O283" s="1919"/>
      <c r="P283" s="1892"/>
      <c r="Q283" s="1892"/>
      <c r="R283" s="1892"/>
      <c r="S283" s="1892"/>
      <c r="T283" s="1892"/>
      <c r="U283" s="1892"/>
      <c r="V283" s="1892"/>
      <c r="W283" s="1892"/>
      <c r="X283" s="1892"/>
      <c r="Y283" s="1892"/>
      <c r="Z283" s="1885"/>
      <c r="AA283" s="1886"/>
    </row>
    <row r="284" spans="1:27" ht="12.75" customHeight="1">
      <c r="A284" s="1900"/>
      <c r="B284" s="1933"/>
      <c r="C284" s="1934"/>
      <c r="D284" s="1934"/>
      <c r="E284" s="1934"/>
      <c r="F284" s="1934"/>
      <c r="G284" s="1934"/>
      <c r="H284" s="1934"/>
      <c r="I284" s="1935"/>
      <c r="J284" s="1909"/>
      <c r="K284" s="1909"/>
      <c r="L284" s="1931"/>
      <c r="M284" s="1940"/>
      <c r="N284" s="1919"/>
      <c r="O284" s="1919"/>
      <c r="P284" s="1892"/>
      <c r="Q284" s="1892"/>
      <c r="R284" s="1892"/>
      <c r="S284" s="1892"/>
      <c r="T284" s="1892"/>
      <c r="U284" s="1892"/>
      <c r="V284" s="1892"/>
      <c r="W284" s="1892"/>
      <c r="X284" s="1892"/>
      <c r="Y284" s="1892"/>
      <c r="Z284" s="1887"/>
      <c r="AA284" s="1886"/>
    </row>
    <row r="285" spans="1:27" ht="9" customHeight="1" thickBot="1">
      <c r="A285" s="1901"/>
      <c r="B285" s="1936"/>
      <c r="C285" s="1937"/>
      <c r="D285" s="1937"/>
      <c r="E285" s="1937"/>
      <c r="F285" s="1937"/>
      <c r="G285" s="1937"/>
      <c r="H285" s="1937"/>
      <c r="I285" s="1938"/>
      <c r="J285" s="1911"/>
      <c r="K285" s="1911"/>
      <c r="L285" s="1932"/>
      <c r="M285" s="1941"/>
      <c r="N285" s="1920"/>
      <c r="O285" s="1920"/>
      <c r="P285" s="1893"/>
      <c r="Q285" s="1893"/>
      <c r="R285" s="1893"/>
      <c r="S285" s="1893"/>
      <c r="T285" s="1893"/>
      <c r="U285" s="1893"/>
      <c r="V285" s="1893"/>
      <c r="W285" s="1893"/>
      <c r="X285" s="1893"/>
      <c r="Y285" s="1893"/>
      <c r="Z285" s="1888"/>
      <c r="AA285" s="1889"/>
    </row>
    <row r="286" spans="1:27" ht="9" customHeight="1" thickTop="1" thickBot="1">
      <c r="A286" s="1151"/>
      <c r="B286" s="1150"/>
      <c r="C286" s="1150"/>
      <c r="D286" s="1150"/>
      <c r="E286" s="1150"/>
      <c r="F286" s="1150"/>
      <c r="G286" s="1150"/>
      <c r="H286" s="1150"/>
      <c r="I286" s="1150"/>
      <c r="J286" s="1152"/>
      <c r="K286" s="1152"/>
      <c r="L286" s="825"/>
      <c r="M286" s="839"/>
      <c r="N286" s="1152"/>
      <c r="O286" s="1152"/>
      <c r="P286" s="658"/>
      <c r="Q286" s="658"/>
      <c r="R286" s="658"/>
      <c r="S286" s="658"/>
      <c r="T286" s="658"/>
      <c r="U286" s="658"/>
      <c r="V286" s="658"/>
      <c r="W286" s="658"/>
      <c r="X286" s="658"/>
      <c r="Y286" s="658"/>
      <c r="Z286" s="826"/>
      <c r="AA286" s="644"/>
    </row>
    <row r="287" spans="1:27" ht="31.5" customHeight="1" thickTop="1">
      <c r="A287" s="1898">
        <v>20</v>
      </c>
      <c r="B287" s="1855" t="s">
        <v>106</v>
      </c>
      <c r="C287" s="1856"/>
      <c r="D287" s="1857">
        <v>853</v>
      </c>
      <c r="E287" s="1858"/>
      <c r="F287" s="1859" t="s">
        <v>418</v>
      </c>
      <c r="G287" s="1860"/>
      <c r="H287" s="1860"/>
      <c r="I287" s="1861"/>
      <c r="J287" s="1908">
        <v>2013</v>
      </c>
      <c r="K287" s="1908">
        <v>2014</v>
      </c>
      <c r="L287" s="1912">
        <f>SUM(N287,L292)</f>
        <v>120650</v>
      </c>
      <c r="M287" s="1914" t="s">
        <v>125</v>
      </c>
      <c r="N287" s="1916">
        <f>SUM(N291:N294)</f>
        <v>120650</v>
      </c>
      <c r="O287" s="1918" t="s">
        <v>117</v>
      </c>
      <c r="P287" s="1890">
        <f t="shared" ref="P287:Y287" si="21">SUM(P291:P294)</f>
        <v>57844</v>
      </c>
      <c r="Q287" s="1890">
        <f t="shared" si="21"/>
        <v>62806</v>
      </c>
      <c r="R287" s="1890">
        <f t="shared" si="21"/>
        <v>0</v>
      </c>
      <c r="S287" s="1890">
        <f t="shared" si="21"/>
        <v>0</v>
      </c>
      <c r="T287" s="1890">
        <f t="shared" si="21"/>
        <v>0</v>
      </c>
      <c r="U287" s="1890">
        <f t="shared" si="21"/>
        <v>0</v>
      </c>
      <c r="V287" s="1890">
        <f t="shared" si="21"/>
        <v>0</v>
      </c>
      <c r="W287" s="1890">
        <f t="shared" si="21"/>
        <v>0</v>
      </c>
      <c r="X287" s="1890">
        <f t="shared" si="21"/>
        <v>0</v>
      </c>
      <c r="Y287" s="1890">
        <f t="shared" si="21"/>
        <v>0</v>
      </c>
      <c r="Z287" s="1877">
        <f>SUM(AA291:AA294)</f>
        <v>120650</v>
      </c>
      <c r="AA287" s="1878"/>
    </row>
    <row r="288" spans="1:27" ht="17.25" customHeight="1">
      <c r="A288" s="1899"/>
      <c r="B288" s="1862" t="s">
        <v>474</v>
      </c>
      <c r="C288" s="1863"/>
      <c r="D288" s="1864">
        <v>85395</v>
      </c>
      <c r="E288" s="1865"/>
      <c r="F288" s="1866" t="s">
        <v>139</v>
      </c>
      <c r="G288" s="1867"/>
      <c r="H288" s="1867"/>
      <c r="I288" s="1868"/>
      <c r="J288" s="1909"/>
      <c r="K288" s="1909"/>
      <c r="L288" s="1944"/>
      <c r="M288" s="1915"/>
      <c r="N288" s="1917"/>
      <c r="O288" s="1919"/>
      <c r="P288" s="1891"/>
      <c r="Q288" s="1891"/>
      <c r="R288" s="1891"/>
      <c r="S288" s="1891"/>
      <c r="T288" s="1891"/>
      <c r="U288" s="1891"/>
      <c r="V288" s="1891"/>
      <c r="W288" s="1891"/>
      <c r="X288" s="1891"/>
      <c r="Y288" s="1891"/>
      <c r="Z288" s="1879"/>
      <c r="AA288" s="1880"/>
    </row>
    <row r="289" spans="1:27" ht="27.75" customHeight="1">
      <c r="A289" s="1899"/>
      <c r="B289" s="1869" t="s">
        <v>481</v>
      </c>
      <c r="C289" s="1870"/>
      <c r="D289" s="1871"/>
      <c r="E289" s="1871"/>
      <c r="F289" s="1871"/>
      <c r="G289" s="1871"/>
      <c r="H289" s="1871"/>
      <c r="I289" s="1872"/>
      <c r="J289" s="1909"/>
      <c r="K289" s="1909"/>
      <c r="L289" s="1944"/>
      <c r="M289" s="1915"/>
      <c r="N289" s="1917"/>
      <c r="O289" s="1919"/>
      <c r="P289" s="1891"/>
      <c r="Q289" s="1891"/>
      <c r="R289" s="1891"/>
      <c r="S289" s="1891"/>
      <c r="T289" s="1891"/>
      <c r="U289" s="1891"/>
      <c r="V289" s="1891"/>
      <c r="W289" s="1891"/>
      <c r="X289" s="1891"/>
      <c r="Y289" s="1891"/>
      <c r="Z289" s="1879"/>
      <c r="AA289" s="1880"/>
    </row>
    <row r="290" spans="1:27" ht="32.25" customHeight="1">
      <c r="A290" s="1899"/>
      <c r="B290" s="1873"/>
      <c r="C290" s="1874"/>
      <c r="D290" s="1875"/>
      <c r="E290" s="1875"/>
      <c r="F290" s="1875"/>
      <c r="G290" s="1875"/>
      <c r="H290" s="1875"/>
      <c r="I290" s="1876"/>
      <c r="J290" s="1909"/>
      <c r="K290" s="1909"/>
      <c r="L290" s="1944"/>
      <c r="M290" s="1915"/>
      <c r="N290" s="1917"/>
      <c r="O290" s="1919"/>
      <c r="P290" s="1891"/>
      <c r="Q290" s="1891"/>
      <c r="R290" s="1891"/>
      <c r="S290" s="1891"/>
      <c r="T290" s="1891"/>
      <c r="U290" s="1891"/>
      <c r="V290" s="1891"/>
      <c r="W290" s="1891"/>
      <c r="X290" s="1891"/>
      <c r="Y290" s="1891"/>
      <c r="Z290" s="1894"/>
      <c r="AA290" s="1895"/>
    </row>
    <row r="291" spans="1:27" ht="9" customHeight="1">
      <c r="A291" s="1900"/>
      <c r="B291" s="1933" t="s">
        <v>385</v>
      </c>
      <c r="C291" s="1934"/>
      <c r="D291" s="1934"/>
      <c r="E291" s="1934"/>
      <c r="F291" s="1934"/>
      <c r="G291" s="1934"/>
      <c r="H291" s="1934"/>
      <c r="I291" s="1935"/>
      <c r="J291" s="1910"/>
      <c r="K291" s="1909"/>
      <c r="L291" s="1944"/>
      <c r="M291" s="1930" t="s">
        <v>482</v>
      </c>
      <c r="N291" s="1942">
        <f>SUM(P291:Y294)</f>
        <v>120650</v>
      </c>
      <c r="O291" s="1919" t="s">
        <v>117</v>
      </c>
      <c r="P291" s="1892">
        <v>57844</v>
      </c>
      <c r="Q291" s="1892">
        <v>62806</v>
      </c>
      <c r="R291" s="1892">
        <v>0</v>
      </c>
      <c r="S291" s="1892">
        <v>0</v>
      </c>
      <c r="T291" s="1892">
        <v>0</v>
      </c>
      <c r="U291" s="1892">
        <v>0</v>
      </c>
      <c r="V291" s="1892">
        <v>0</v>
      </c>
      <c r="W291" s="1892">
        <v>0</v>
      </c>
      <c r="X291" s="1892">
        <v>0</v>
      </c>
      <c r="Y291" s="1892">
        <v>0</v>
      </c>
      <c r="Z291" s="1885" t="s">
        <v>163</v>
      </c>
      <c r="AA291" s="1886">
        <f>P287</f>
        <v>57844</v>
      </c>
    </row>
    <row r="292" spans="1:27" ht="9" customHeight="1">
      <c r="A292" s="1900"/>
      <c r="B292" s="1933"/>
      <c r="C292" s="1934"/>
      <c r="D292" s="1934"/>
      <c r="E292" s="1934"/>
      <c r="F292" s="1934"/>
      <c r="G292" s="1934"/>
      <c r="H292" s="1934"/>
      <c r="I292" s="1935"/>
      <c r="J292" s="1910"/>
      <c r="K292" s="1909"/>
      <c r="L292" s="1943">
        <v>0</v>
      </c>
      <c r="M292" s="1930"/>
      <c r="N292" s="1919"/>
      <c r="O292" s="1919"/>
      <c r="P292" s="1892"/>
      <c r="Q292" s="1892"/>
      <c r="R292" s="1892"/>
      <c r="S292" s="1892"/>
      <c r="T292" s="1892"/>
      <c r="U292" s="1892"/>
      <c r="V292" s="1892"/>
      <c r="W292" s="1892"/>
      <c r="X292" s="1892"/>
      <c r="Y292" s="1892"/>
      <c r="Z292" s="1885"/>
      <c r="AA292" s="1886"/>
    </row>
    <row r="293" spans="1:27" ht="9" customHeight="1">
      <c r="A293" s="1900"/>
      <c r="B293" s="1933"/>
      <c r="C293" s="1934"/>
      <c r="D293" s="1934"/>
      <c r="E293" s="1934"/>
      <c r="F293" s="1934"/>
      <c r="G293" s="1934"/>
      <c r="H293" s="1934"/>
      <c r="I293" s="1935"/>
      <c r="J293" s="1910"/>
      <c r="K293" s="1909"/>
      <c r="L293" s="1944"/>
      <c r="M293" s="1930"/>
      <c r="N293" s="1919"/>
      <c r="O293" s="1919"/>
      <c r="P293" s="1892"/>
      <c r="Q293" s="1892"/>
      <c r="R293" s="1892"/>
      <c r="S293" s="1892"/>
      <c r="T293" s="1892"/>
      <c r="U293" s="1892"/>
      <c r="V293" s="1892"/>
      <c r="W293" s="1892"/>
      <c r="X293" s="1892"/>
      <c r="Y293" s="1892"/>
      <c r="Z293" s="1885" t="s">
        <v>372</v>
      </c>
      <c r="AA293" s="1886">
        <f>Q287</f>
        <v>62806</v>
      </c>
    </row>
    <row r="294" spans="1:27" ht="9" customHeight="1" thickBot="1">
      <c r="A294" s="1901"/>
      <c r="B294" s="1936"/>
      <c r="C294" s="1937"/>
      <c r="D294" s="1937"/>
      <c r="E294" s="1937"/>
      <c r="F294" s="1937"/>
      <c r="G294" s="1937"/>
      <c r="H294" s="1937"/>
      <c r="I294" s="1938"/>
      <c r="J294" s="1948"/>
      <c r="K294" s="1911"/>
      <c r="L294" s="1945"/>
      <c r="M294" s="1949"/>
      <c r="N294" s="1920"/>
      <c r="O294" s="1920"/>
      <c r="P294" s="1893"/>
      <c r="Q294" s="1893"/>
      <c r="R294" s="1893"/>
      <c r="S294" s="1893"/>
      <c r="T294" s="1893"/>
      <c r="U294" s="1893"/>
      <c r="V294" s="1893"/>
      <c r="W294" s="1893"/>
      <c r="X294" s="1893"/>
      <c r="Y294" s="1893"/>
      <c r="Z294" s="1885"/>
      <c r="AA294" s="1886"/>
    </row>
    <row r="295" spans="1:27" ht="6.75" customHeight="1" thickTop="1" thickBot="1">
      <c r="A295" s="637"/>
      <c r="B295" s="638"/>
      <c r="C295" s="638"/>
      <c r="D295" s="638"/>
      <c r="E295" s="638"/>
      <c r="F295" s="638"/>
      <c r="G295" s="638"/>
      <c r="H295" s="638"/>
      <c r="I295" s="638"/>
      <c r="J295" s="637"/>
      <c r="K295" s="637"/>
      <c r="L295" s="663"/>
      <c r="M295" s="836"/>
      <c r="N295" s="642"/>
      <c r="O295" s="637"/>
      <c r="P295" s="657"/>
      <c r="Q295" s="659"/>
      <c r="R295" s="657"/>
      <c r="S295" s="657"/>
      <c r="T295" s="657"/>
      <c r="U295" s="657"/>
      <c r="V295" s="657"/>
      <c r="W295" s="657"/>
      <c r="X295" s="657"/>
      <c r="Y295" s="657"/>
      <c r="Z295" s="636"/>
      <c r="AA295" s="635"/>
    </row>
    <row r="296" spans="1:27" ht="13.5" thickTop="1">
      <c r="A296" s="1978" t="s">
        <v>144</v>
      </c>
      <c r="B296" s="1979"/>
      <c r="C296" s="1979"/>
      <c r="D296" s="1979"/>
      <c r="E296" s="1979"/>
      <c r="F296" s="1979"/>
      <c r="G296" s="1979"/>
      <c r="H296" s="1979"/>
      <c r="I296" s="1979"/>
      <c r="J296" s="1979"/>
      <c r="K296" s="1980"/>
      <c r="L296" s="1987">
        <f>L248+L235+L222+L213+L204+L191+L178+L165+L152+L139+L126+L113+L100+L87+L74+L61+L44+L31+L18+L261+L274+L287</f>
        <v>45406608.350000001</v>
      </c>
      <c r="M296" s="1990" t="s">
        <v>125</v>
      </c>
      <c r="N296" s="1992">
        <f>SUM(N300:N307)</f>
        <v>35626887.600000001</v>
      </c>
      <c r="O296" s="1995" t="s">
        <v>117</v>
      </c>
      <c r="P296" s="1953">
        <f>IF(SUM(P300:P307)=(P113+P100+P87+P74+P61+P44+P31+P18+P222+P178+P165+P152+P139+P126+P248+P235++P213+P204+P191+P261+P274+P287),SUM(P300:P307),"błąd")</f>
        <v>16012151.860000001</v>
      </c>
      <c r="Q296" s="1953">
        <f>IF(SUM(Q300:Q307)=(Q113+Q100+Q87+Q74+Q61+Q44+Q31+Q18+Q222+Q178+Q165+Q152+Q139+Q126+Q248+Q235++Q213+Q204+Q191+Q261+Q274+Q287),SUM(Q300:Q307),"błąd")</f>
        <v>9094495.0199999996</v>
      </c>
      <c r="R296" s="1953">
        <f t="shared" ref="R296:Y296" si="22">IF(SUM(R300:R307)=(R113+R100+R87+R74+R61+R44+R31+R18+R222+R178+R165+R152+R139+R126+R248+R235++R213+R204+R191+R261+R274+R287),SUM(R300:R307),"błąd")</f>
        <v>2516563.5499999998</v>
      </c>
      <c r="S296" s="1953">
        <f t="shared" si="22"/>
        <v>2159095.14</v>
      </c>
      <c r="T296" s="1953">
        <f t="shared" si="22"/>
        <v>1769903.5899999999</v>
      </c>
      <c r="U296" s="1953">
        <f t="shared" si="22"/>
        <v>944428.13</v>
      </c>
      <c r="V296" s="1953">
        <f t="shared" si="22"/>
        <v>898204.96</v>
      </c>
      <c r="W296" s="1953">
        <f t="shared" si="22"/>
        <v>852319.45</v>
      </c>
      <c r="X296" s="1953">
        <f t="shared" si="22"/>
        <v>805758.55</v>
      </c>
      <c r="Y296" s="1953">
        <f t="shared" si="22"/>
        <v>573967.35</v>
      </c>
      <c r="Z296" s="1877"/>
      <c r="AA296" s="1878"/>
    </row>
    <row r="297" spans="1:27">
      <c r="A297" s="1981"/>
      <c r="B297" s="1982"/>
      <c r="C297" s="1982"/>
      <c r="D297" s="1982"/>
      <c r="E297" s="1982"/>
      <c r="F297" s="1982"/>
      <c r="G297" s="1982"/>
      <c r="H297" s="1982"/>
      <c r="I297" s="1982"/>
      <c r="J297" s="1982"/>
      <c r="K297" s="1983"/>
      <c r="L297" s="1988"/>
      <c r="M297" s="1915"/>
      <c r="N297" s="1993"/>
      <c r="O297" s="1919"/>
      <c r="P297" s="1917"/>
      <c r="Q297" s="1917"/>
      <c r="R297" s="1917"/>
      <c r="S297" s="1917"/>
      <c r="T297" s="1917"/>
      <c r="U297" s="1917"/>
      <c r="V297" s="1917"/>
      <c r="W297" s="1917"/>
      <c r="X297" s="1917"/>
      <c r="Y297" s="1917"/>
      <c r="Z297" s="1879"/>
      <c r="AA297" s="1880"/>
    </row>
    <row r="298" spans="1:27">
      <c r="A298" s="1981"/>
      <c r="B298" s="1982"/>
      <c r="C298" s="1982"/>
      <c r="D298" s="1982"/>
      <c r="E298" s="1982"/>
      <c r="F298" s="1982"/>
      <c r="G298" s="1982"/>
      <c r="H298" s="1982"/>
      <c r="I298" s="1982"/>
      <c r="J298" s="1982"/>
      <c r="K298" s="1983"/>
      <c r="L298" s="1988"/>
      <c r="M298" s="1915"/>
      <c r="N298" s="1993"/>
      <c r="O298" s="1919"/>
      <c r="P298" s="1917"/>
      <c r="Q298" s="1917"/>
      <c r="R298" s="1917"/>
      <c r="S298" s="1917"/>
      <c r="T298" s="1917"/>
      <c r="U298" s="1917"/>
      <c r="V298" s="1917"/>
      <c r="W298" s="1917"/>
      <c r="X298" s="1917"/>
      <c r="Y298" s="1917"/>
      <c r="Z298" s="1879"/>
      <c r="AA298" s="1880"/>
    </row>
    <row r="299" spans="1:27" ht="4.5" customHeight="1">
      <c r="A299" s="1981"/>
      <c r="B299" s="1982"/>
      <c r="C299" s="1982"/>
      <c r="D299" s="1982"/>
      <c r="E299" s="1982"/>
      <c r="F299" s="1982"/>
      <c r="G299" s="1982"/>
      <c r="H299" s="1982"/>
      <c r="I299" s="1982"/>
      <c r="J299" s="1982"/>
      <c r="K299" s="1983"/>
      <c r="L299" s="1988"/>
      <c r="M299" s="1991"/>
      <c r="N299" s="1994"/>
      <c r="O299" s="1919"/>
      <c r="P299" s="1954"/>
      <c r="Q299" s="1954"/>
      <c r="R299" s="1954"/>
      <c r="S299" s="1954"/>
      <c r="T299" s="1954"/>
      <c r="U299" s="1954"/>
      <c r="V299" s="1954"/>
      <c r="W299" s="1954"/>
      <c r="X299" s="1954"/>
      <c r="Y299" s="1954"/>
      <c r="Z299" s="1879"/>
      <c r="AA299" s="1880"/>
    </row>
    <row r="300" spans="1:27">
      <c r="A300" s="1981"/>
      <c r="B300" s="1982"/>
      <c r="C300" s="1982"/>
      <c r="D300" s="1982"/>
      <c r="E300" s="1982"/>
      <c r="F300" s="1982"/>
      <c r="G300" s="1982"/>
      <c r="H300" s="1982"/>
      <c r="I300" s="1982"/>
      <c r="J300" s="1982"/>
      <c r="K300" s="1983"/>
      <c r="L300" s="1989"/>
      <c r="M300" s="1930" t="s">
        <v>152</v>
      </c>
      <c r="N300" s="1917">
        <f>SUM(P300:Y303)</f>
        <v>4802168.1500000004</v>
      </c>
      <c r="O300" s="1919" t="s">
        <v>117</v>
      </c>
      <c r="P300" s="1942">
        <f>P22+P35+P52+P65+P78+P91+P104+P117+P226+P156+P169+P182+P143+P130+P252+P195+P239+P265+P278+P291</f>
        <v>3833847.15</v>
      </c>
      <c r="Q300" s="1942">
        <f t="shared" ref="Q300:Y300" si="23">Q22+Q35+Q52+Q65+Q78+Q91+Q104+Q117+Q226+Q156+Q169+Q182+Q143+Q130+Q252+Q195+Q239+Q265+Q278+Q291</f>
        <v>955361</v>
      </c>
      <c r="R300" s="1942">
        <f t="shared" si="23"/>
        <v>12960</v>
      </c>
      <c r="S300" s="1942">
        <f t="shared" si="23"/>
        <v>0</v>
      </c>
      <c r="T300" s="1942">
        <f t="shared" si="23"/>
        <v>0</v>
      </c>
      <c r="U300" s="1942">
        <f t="shared" si="23"/>
        <v>0</v>
      </c>
      <c r="V300" s="1942">
        <f t="shared" si="23"/>
        <v>0</v>
      </c>
      <c r="W300" s="1942">
        <f t="shared" si="23"/>
        <v>0</v>
      </c>
      <c r="X300" s="1942">
        <f t="shared" si="23"/>
        <v>0</v>
      </c>
      <c r="Y300" s="1942">
        <f t="shared" si="23"/>
        <v>0</v>
      </c>
      <c r="Z300" s="1881"/>
      <c r="AA300" s="1882"/>
    </row>
    <row r="301" spans="1:27">
      <c r="A301" s="1981"/>
      <c r="B301" s="1982"/>
      <c r="C301" s="1982"/>
      <c r="D301" s="1982"/>
      <c r="E301" s="1982"/>
      <c r="F301" s="1982"/>
      <c r="G301" s="1982"/>
      <c r="H301" s="1982"/>
      <c r="I301" s="1982"/>
      <c r="J301" s="1982"/>
      <c r="K301" s="1983"/>
      <c r="L301" s="1989"/>
      <c r="M301" s="1930"/>
      <c r="N301" s="1917"/>
      <c r="O301" s="1919"/>
      <c r="P301" s="1942"/>
      <c r="Q301" s="1942"/>
      <c r="R301" s="1942"/>
      <c r="S301" s="1942"/>
      <c r="T301" s="1942"/>
      <c r="U301" s="1942"/>
      <c r="V301" s="1942"/>
      <c r="W301" s="1942"/>
      <c r="X301" s="1942"/>
      <c r="Y301" s="1942"/>
      <c r="Z301" s="1881"/>
      <c r="AA301" s="1882"/>
    </row>
    <row r="302" spans="1:27">
      <c r="A302" s="1981"/>
      <c r="B302" s="1982"/>
      <c r="C302" s="1982"/>
      <c r="D302" s="1982"/>
      <c r="E302" s="1982"/>
      <c r="F302" s="1982"/>
      <c r="G302" s="1982"/>
      <c r="H302" s="1982"/>
      <c r="I302" s="1982"/>
      <c r="J302" s="1982"/>
      <c r="K302" s="1983"/>
      <c r="L302" s="1989"/>
      <c r="M302" s="1930"/>
      <c r="N302" s="1917"/>
      <c r="O302" s="1919"/>
      <c r="P302" s="1942"/>
      <c r="Q302" s="1942"/>
      <c r="R302" s="1942"/>
      <c r="S302" s="1942"/>
      <c r="T302" s="1942"/>
      <c r="U302" s="1942"/>
      <c r="V302" s="1942"/>
      <c r="W302" s="1942"/>
      <c r="X302" s="1942"/>
      <c r="Y302" s="1942"/>
      <c r="Z302" s="1881"/>
      <c r="AA302" s="1882"/>
    </row>
    <row r="303" spans="1:27" ht="5.25" customHeight="1">
      <c r="A303" s="1981"/>
      <c r="B303" s="1982"/>
      <c r="C303" s="1982"/>
      <c r="D303" s="1982"/>
      <c r="E303" s="1982"/>
      <c r="F303" s="1982"/>
      <c r="G303" s="1982"/>
      <c r="H303" s="1982"/>
      <c r="I303" s="1982"/>
      <c r="J303" s="1982"/>
      <c r="K303" s="1983"/>
      <c r="L303" s="1989"/>
      <c r="M303" s="1930"/>
      <c r="N303" s="1917"/>
      <c r="O303" s="1919"/>
      <c r="P303" s="1942"/>
      <c r="Q303" s="1942"/>
      <c r="R303" s="1942"/>
      <c r="S303" s="1942"/>
      <c r="T303" s="1942"/>
      <c r="U303" s="1942"/>
      <c r="V303" s="1942"/>
      <c r="W303" s="1942"/>
      <c r="X303" s="1942"/>
      <c r="Y303" s="1942"/>
      <c r="Z303" s="1881"/>
      <c r="AA303" s="1882"/>
    </row>
    <row r="304" spans="1:27">
      <c r="A304" s="1981"/>
      <c r="B304" s="1982"/>
      <c r="C304" s="1982"/>
      <c r="D304" s="1982"/>
      <c r="E304" s="1982"/>
      <c r="F304" s="1982"/>
      <c r="G304" s="1982"/>
      <c r="H304" s="1982"/>
      <c r="I304" s="1982"/>
      <c r="J304" s="1982"/>
      <c r="K304" s="1983"/>
      <c r="L304" s="1996">
        <f>L24+L37+L52+L67+L80+L93+L106+L119+L228+L184+L171+L158+L145+L132+L254+L241+L218+L209+L197+L267+L280+L292</f>
        <v>9779720.75</v>
      </c>
      <c r="M304" s="1939" t="s">
        <v>433</v>
      </c>
      <c r="N304" s="1954">
        <f>SUM(P304:Y307)</f>
        <v>30824719.450000003</v>
      </c>
      <c r="O304" s="2001" t="s">
        <v>117</v>
      </c>
      <c r="P304" s="1950">
        <f>P39+P48+P56+P69+P82+P95+P108+P121+P230+P186+P173+P160+P134+P147+P256+P243+P217+P208+P199+P269+P282</f>
        <v>12178304.710000001</v>
      </c>
      <c r="Q304" s="1950">
        <f t="shared" ref="Q304:Y304" si="24">Q39+Q48+Q56+Q69+Q82+Q95+Q108+Q121+Q230+Q186+Q173+Q160+Q134+Q147+Q256+Q243+Q217+Q208+Q199+Q269+Q282</f>
        <v>8139134.0199999996</v>
      </c>
      <c r="R304" s="1950">
        <f t="shared" si="24"/>
        <v>2503603.5499999998</v>
      </c>
      <c r="S304" s="1950">
        <f t="shared" si="24"/>
        <v>2159095.14</v>
      </c>
      <c r="T304" s="1950">
        <f t="shared" si="24"/>
        <v>1769903.5899999999</v>
      </c>
      <c r="U304" s="1950">
        <f t="shared" si="24"/>
        <v>944428.13</v>
      </c>
      <c r="V304" s="1950">
        <f t="shared" si="24"/>
        <v>898204.96</v>
      </c>
      <c r="W304" s="1950">
        <f t="shared" si="24"/>
        <v>852319.45</v>
      </c>
      <c r="X304" s="1950">
        <f t="shared" si="24"/>
        <v>805758.55</v>
      </c>
      <c r="Y304" s="1950">
        <f t="shared" si="24"/>
        <v>573967.35</v>
      </c>
      <c r="Z304" s="1881"/>
      <c r="AA304" s="1882"/>
    </row>
    <row r="305" spans="1:27">
      <c r="A305" s="1981"/>
      <c r="B305" s="1982"/>
      <c r="C305" s="1982"/>
      <c r="D305" s="1982"/>
      <c r="E305" s="1982"/>
      <c r="F305" s="1982"/>
      <c r="G305" s="1982"/>
      <c r="H305" s="1982"/>
      <c r="I305" s="1982"/>
      <c r="J305" s="1982"/>
      <c r="K305" s="1983"/>
      <c r="L305" s="1996"/>
      <c r="M305" s="1940"/>
      <c r="N305" s="1993"/>
      <c r="O305" s="2001"/>
      <c r="P305" s="1951"/>
      <c r="Q305" s="1951"/>
      <c r="R305" s="1951"/>
      <c r="S305" s="1951"/>
      <c r="T305" s="1951"/>
      <c r="U305" s="1951"/>
      <c r="V305" s="1951"/>
      <c r="W305" s="1951"/>
      <c r="X305" s="1951"/>
      <c r="Y305" s="1951"/>
      <c r="Z305" s="1881"/>
      <c r="AA305" s="1882"/>
    </row>
    <row r="306" spans="1:27">
      <c r="A306" s="1981"/>
      <c r="B306" s="1982"/>
      <c r="C306" s="1982"/>
      <c r="D306" s="1982"/>
      <c r="E306" s="1982"/>
      <c r="F306" s="1982"/>
      <c r="G306" s="1982"/>
      <c r="H306" s="1982"/>
      <c r="I306" s="1982"/>
      <c r="J306" s="1982"/>
      <c r="K306" s="1983"/>
      <c r="L306" s="1996"/>
      <c r="M306" s="1940"/>
      <c r="N306" s="1993"/>
      <c r="O306" s="2001"/>
      <c r="P306" s="1951"/>
      <c r="Q306" s="1951"/>
      <c r="R306" s="1951"/>
      <c r="S306" s="1951"/>
      <c r="T306" s="1951"/>
      <c r="U306" s="1951"/>
      <c r="V306" s="1951"/>
      <c r="W306" s="1951"/>
      <c r="X306" s="1951"/>
      <c r="Y306" s="1951"/>
      <c r="Z306" s="1881"/>
      <c r="AA306" s="1882"/>
    </row>
    <row r="307" spans="1:27" ht="33.75" customHeight="1" thickBot="1">
      <c r="A307" s="1984"/>
      <c r="B307" s="1985"/>
      <c r="C307" s="1985"/>
      <c r="D307" s="1985"/>
      <c r="E307" s="1985"/>
      <c r="F307" s="1985"/>
      <c r="G307" s="1985"/>
      <c r="H307" s="1985"/>
      <c r="I307" s="1985"/>
      <c r="J307" s="1985"/>
      <c r="K307" s="1986"/>
      <c r="L307" s="1997"/>
      <c r="M307" s="2000"/>
      <c r="N307" s="2003"/>
      <c r="O307" s="2002"/>
      <c r="P307" s="1952"/>
      <c r="Q307" s="1952"/>
      <c r="R307" s="1952"/>
      <c r="S307" s="1952"/>
      <c r="T307" s="1952"/>
      <c r="U307" s="1952"/>
      <c r="V307" s="1952"/>
      <c r="W307" s="1952"/>
      <c r="X307" s="1952"/>
      <c r="Y307" s="1952"/>
      <c r="Z307" s="1883"/>
      <c r="AA307" s="1884"/>
    </row>
    <row r="308" spans="1:27">
      <c r="M308" s="634"/>
      <c r="N308" s="634"/>
      <c r="O308" s="634"/>
      <c r="Z308" s="634"/>
      <c r="AA308" s="633"/>
    </row>
    <row r="309" spans="1:27">
      <c r="N309" s="654" t="s">
        <v>343</v>
      </c>
    </row>
    <row r="310" spans="1:27">
      <c r="M310" s="654" t="s">
        <v>343</v>
      </c>
    </row>
  </sheetData>
  <sheetProtection password="CC56" sheet="1" objects="1" scenarios="1" selectLockedCells="1" selectUnlockedCells="1"/>
  <mergeCells count="1366">
    <mergeCell ref="A287:A294"/>
    <mergeCell ref="B287:C287"/>
    <mergeCell ref="D287:E287"/>
    <mergeCell ref="F287:I287"/>
    <mergeCell ref="J287:J294"/>
    <mergeCell ref="K287:K294"/>
    <mergeCell ref="L287:L291"/>
    <mergeCell ref="B288:C288"/>
    <mergeCell ref="D288:E288"/>
    <mergeCell ref="F288:I288"/>
    <mergeCell ref="B289:I290"/>
    <mergeCell ref="L292:L294"/>
    <mergeCell ref="W287:W290"/>
    <mergeCell ref="X287:X290"/>
    <mergeCell ref="Y287:Y290"/>
    <mergeCell ref="Z287:AA290"/>
    <mergeCell ref="B291:I294"/>
    <mergeCell ref="M291:M294"/>
    <mergeCell ref="N291:N294"/>
    <mergeCell ref="O291:O294"/>
    <mergeCell ref="P291:P294"/>
    <mergeCell ref="Q291:Q294"/>
    <mergeCell ref="R291:R294"/>
    <mergeCell ref="S291:S294"/>
    <mergeCell ref="T291:T294"/>
    <mergeCell ref="U291:U294"/>
    <mergeCell ref="V291:V294"/>
    <mergeCell ref="W291:W294"/>
    <mergeCell ref="X291:X294"/>
    <mergeCell ref="Y291:Y294"/>
    <mergeCell ref="Z291:Z292"/>
    <mergeCell ref="AA291:AA292"/>
    <mergeCell ref="Z293:Z294"/>
    <mergeCell ref="AA293:AA294"/>
    <mergeCell ref="M287:M290"/>
    <mergeCell ref="N287:N290"/>
    <mergeCell ref="O287:O290"/>
    <mergeCell ref="P287:P290"/>
    <mergeCell ref="Q287:Q290"/>
    <mergeCell ref="R287:R290"/>
    <mergeCell ref="S287:S290"/>
    <mergeCell ref="T287:T290"/>
    <mergeCell ref="U287:U290"/>
    <mergeCell ref="V287:V290"/>
    <mergeCell ref="B282:I285"/>
    <mergeCell ref="M282:M285"/>
    <mergeCell ref="N282:N285"/>
    <mergeCell ref="O282:O285"/>
    <mergeCell ref="P282:P285"/>
    <mergeCell ref="Q282:Q285"/>
    <mergeCell ref="R282:R285"/>
    <mergeCell ref="S282:S285"/>
    <mergeCell ref="T282:T285"/>
    <mergeCell ref="U282:U285"/>
    <mergeCell ref="V282:V285"/>
    <mergeCell ref="W282:W285"/>
    <mergeCell ref="X282:X285"/>
    <mergeCell ref="Y282:Y285"/>
    <mergeCell ref="Z282:Z283"/>
    <mergeCell ref="AA282:AA283"/>
    <mergeCell ref="Z284:Z285"/>
    <mergeCell ref="AA284:AA285"/>
    <mergeCell ref="M278:M281"/>
    <mergeCell ref="N278:N281"/>
    <mergeCell ref="O278:O281"/>
    <mergeCell ref="P278:P281"/>
    <mergeCell ref="Q278:Q281"/>
    <mergeCell ref="R278:R281"/>
    <mergeCell ref="S278:S281"/>
    <mergeCell ref="T278:T281"/>
    <mergeCell ref="U278:U281"/>
    <mergeCell ref="V278:V281"/>
    <mergeCell ref="W278:W281"/>
    <mergeCell ref="X278:X281"/>
    <mergeCell ref="Y278:Y281"/>
    <mergeCell ref="Z278:Z279"/>
    <mergeCell ref="AA278:AA279"/>
    <mergeCell ref="L280:L285"/>
    <mergeCell ref="Z280:Z281"/>
    <mergeCell ref="AA280:AA281"/>
    <mergeCell ref="W269:W272"/>
    <mergeCell ref="X269:X272"/>
    <mergeCell ref="Y269:Y272"/>
    <mergeCell ref="Z269:Z270"/>
    <mergeCell ref="AA269:AA270"/>
    <mergeCell ref="Z271:Z272"/>
    <mergeCell ref="AA271:AA272"/>
    <mergeCell ref="A274:A285"/>
    <mergeCell ref="B274:C275"/>
    <mergeCell ref="D274:E275"/>
    <mergeCell ref="F274:I275"/>
    <mergeCell ref="J274:J285"/>
    <mergeCell ref="K274:K285"/>
    <mergeCell ref="L274:L279"/>
    <mergeCell ref="M274:M277"/>
    <mergeCell ref="N274:N277"/>
    <mergeCell ref="O274:O277"/>
    <mergeCell ref="P274:P277"/>
    <mergeCell ref="Q274:Q277"/>
    <mergeCell ref="R274:R277"/>
    <mergeCell ref="S274:S277"/>
    <mergeCell ref="T274:T277"/>
    <mergeCell ref="U274:U277"/>
    <mergeCell ref="V274:V277"/>
    <mergeCell ref="W274:W277"/>
    <mergeCell ref="X274:X277"/>
    <mergeCell ref="Y274:Y277"/>
    <mergeCell ref="Z274:AA277"/>
    <mergeCell ref="B276:C277"/>
    <mergeCell ref="D276:E277"/>
    <mergeCell ref="F276:I277"/>
    <mergeCell ref="B278:I281"/>
    <mergeCell ref="W261:W264"/>
    <mergeCell ref="X261:X264"/>
    <mergeCell ref="Y261:Y264"/>
    <mergeCell ref="Z261:AA264"/>
    <mergeCell ref="B263:C264"/>
    <mergeCell ref="D263:E264"/>
    <mergeCell ref="F263:I264"/>
    <mergeCell ref="B265:I268"/>
    <mergeCell ref="M265:M268"/>
    <mergeCell ref="N265:N268"/>
    <mergeCell ref="O265:O268"/>
    <mergeCell ref="P265:P268"/>
    <mergeCell ref="Q265:Q268"/>
    <mergeCell ref="R265:R268"/>
    <mergeCell ref="S265:S268"/>
    <mergeCell ref="T265:T268"/>
    <mergeCell ref="U265:U268"/>
    <mergeCell ref="V265:V268"/>
    <mergeCell ref="W265:W268"/>
    <mergeCell ref="X265:X268"/>
    <mergeCell ref="Y265:Y268"/>
    <mergeCell ref="Z265:Z266"/>
    <mergeCell ref="AA265:AA266"/>
    <mergeCell ref="L267:L272"/>
    <mergeCell ref="Z267:Z268"/>
    <mergeCell ref="AA267:AA268"/>
    <mergeCell ref="B269:I272"/>
    <mergeCell ref="M269:M272"/>
    <mergeCell ref="N269:N272"/>
    <mergeCell ref="O269:O272"/>
    <mergeCell ref="P269:P272"/>
    <mergeCell ref="Q269:Q272"/>
    <mergeCell ref="A261:A272"/>
    <mergeCell ref="B261:C262"/>
    <mergeCell ref="D261:E262"/>
    <mergeCell ref="F261:I262"/>
    <mergeCell ref="J261:J272"/>
    <mergeCell ref="K261:K272"/>
    <mergeCell ref="L261:L266"/>
    <mergeCell ref="M261:M264"/>
    <mergeCell ref="N261:N264"/>
    <mergeCell ref="O261:O264"/>
    <mergeCell ref="P261:P264"/>
    <mergeCell ref="Q261:Q264"/>
    <mergeCell ref="R261:R264"/>
    <mergeCell ref="S261:S264"/>
    <mergeCell ref="T261:T264"/>
    <mergeCell ref="U261:U264"/>
    <mergeCell ref="V261:V264"/>
    <mergeCell ref="R269:R272"/>
    <mergeCell ref="S269:S272"/>
    <mergeCell ref="T269:T272"/>
    <mergeCell ref="U269:U272"/>
    <mergeCell ref="V269:V272"/>
    <mergeCell ref="W1:AA1"/>
    <mergeCell ref="A126:A137"/>
    <mergeCell ref="A139:A150"/>
    <mergeCell ref="P143:P146"/>
    <mergeCell ref="Q143:Q146"/>
    <mergeCell ref="R143:R146"/>
    <mergeCell ref="Z143:Z144"/>
    <mergeCell ref="AA143:AA144"/>
    <mergeCell ref="L145:L150"/>
    <mergeCell ref="Z145:Z146"/>
    <mergeCell ref="AA145:AA146"/>
    <mergeCell ref="M147:M150"/>
    <mergeCell ref="N147:N150"/>
    <mergeCell ref="O147:O150"/>
    <mergeCell ref="P147:P150"/>
    <mergeCell ref="Q147:Q150"/>
    <mergeCell ref="R147:R150"/>
    <mergeCell ref="Z147:Z148"/>
    <mergeCell ref="AA147:AA148"/>
    <mergeCell ref="Z149:Z150"/>
    <mergeCell ref="AA149:AA150"/>
    <mergeCell ref="P139:P142"/>
    <mergeCell ref="Q139:Q142"/>
    <mergeCell ref="R139:R142"/>
    <mergeCell ref="Z139:AA142"/>
    <mergeCell ref="B141:C142"/>
    <mergeCell ref="D141:E142"/>
    <mergeCell ref="F141:I142"/>
    <mergeCell ref="B139:C140"/>
    <mergeCell ref="D139:E140"/>
    <mergeCell ref="F139:I140"/>
    <mergeCell ref="J139:J150"/>
    <mergeCell ref="K139:K150"/>
    <mergeCell ref="L139:L144"/>
    <mergeCell ref="M139:M142"/>
    <mergeCell ref="N139:N142"/>
    <mergeCell ref="O139:O142"/>
    <mergeCell ref="B143:I146"/>
    <mergeCell ref="M143:M146"/>
    <mergeCell ref="N143:N146"/>
    <mergeCell ref="O143:O146"/>
    <mergeCell ref="B147:I150"/>
    <mergeCell ref="S143:S146"/>
    <mergeCell ref="Z130:Z131"/>
    <mergeCell ref="AA130:AA131"/>
    <mergeCell ref="L132:L137"/>
    <mergeCell ref="Z132:Z133"/>
    <mergeCell ref="AA132:AA133"/>
    <mergeCell ref="M134:M137"/>
    <mergeCell ref="N134:N137"/>
    <mergeCell ref="O134:O137"/>
    <mergeCell ref="P134:P137"/>
    <mergeCell ref="Q134:Q137"/>
    <mergeCell ref="R134:R137"/>
    <mergeCell ref="Z134:Z135"/>
    <mergeCell ref="AA134:AA135"/>
    <mergeCell ref="Z136:Z137"/>
    <mergeCell ref="AA136:AA137"/>
    <mergeCell ref="S134:S137"/>
    <mergeCell ref="B128:C129"/>
    <mergeCell ref="D128:E129"/>
    <mergeCell ref="F128:I129"/>
    <mergeCell ref="B126:C127"/>
    <mergeCell ref="D126:E127"/>
    <mergeCell ref="F126:I127"/>
    <mergeCell ref="J126:J137"/>
    <mergeCell ref="K126:K137"/>
    <mergeCell ref="L126:L131"/>
    <mergeCell ref="M126:M129"/>
    <mergeCell ref="N126:N129"/>
    <mergeCell ref="O126:O129"/>
    <mergeCell ref="B130:I133"/>
    <mergeCell ref="M130:M133"/>
    <mergeCell ref="N130:N133"/>
    <mergeCell ref="O130:O133"/>
    <mergeCell ref="B134:I137"/>
    <mergeCell ref="A113:A124"/>
    <mergeCell ref="B113:C114"/>
    <mergeCell ref="D113:E114"/>
    <mergeCell ref="F113:I114"/>
    <mergeCell ref="J113:J124"/>
    <mergeCell ref="K113:K124"/>
    <mergeCell ref="L113:L118"/>
    <mergeCell ref="M113:M116"/>
    <mergeCell ref="N113:N116"/>
    <mergeCell ref="B117:I120"/>
    <mergeCell ref="M117:M120"/>
    <mergeCell ref="N117:N120"/>
    <mergeCell ref="B121:I124"/>
    <mergeCell ref="O113:O116"/>
    <mergeCell ref="P113:P116"/>
    <mergeCell ref="Q113:Q116"/>
    <mergeCell ref="B115:C116"/>
    <mergeCell ref="D115:E116"/>
    <mergeCell ref="F115:I116"/>
    <mergeCell ref="O117:O120"/>
    <mergeCell ref="P117:P120"/>
    <mergeCell ref="Q117:Q120"/>
    <mergeCell ref="L119:L124"/>
    <mergeCell ref="M121:M124"/>
    <mergeCell ref="N121:N124"/>
    <mergeCell ref="O121:O124"/>
    <mergeCell ref="P121:P124"/>
    <mergeCell ref="Q121:Q124"/>
    <mergeCell ref="Y9:Y17"/>
    <mergeCell ref="U9:U17"/>
    <mergeCell ref="Z9:AA17"/>
    <mergeCell ref="B8:C9"/>
    <mergeCell ref="D8:E9"/>
    <mergeCell ref="F8:I9"/>
    <mergeCell ref="M9:M17"/>
    <mergeCell ref="N9:N17"/>
    <mergeCell ref="O9:O17"/>
    <mergeCell ref="B10:I13"/>
    <mergeCell ref="A3:AA3"/>
    <mergeCell ref="A4:AA4"/>
    <mergeCell ref="A6:A17"/>
    <mergeCell ref="B6:C7"/>
    <mergeCell ref="D6:E7"/>
    <mergeCell ref="F6:I7"/>
    <mergeCell ref="J6:K11"/>
    <mergeCell ref="L6:L11"/>
    <mergeCell ref="M6:AA8"/>
    <mergeCell ref="Q9:Q17"/>
    <mergeCell ref="B14:I17"/>
    <mergeCell ref="V9:V17"/>
    <mergeCell ref="W9:W17"/>
    <mergeCell ref="X9:X17"/>
    <mergeCell ref="B18:C19"/>
    <mergeCell ref="D18:E19"/>
    <mergeCell ref="F18:I19"/>
    <mergeCell ref="J18:J29"/>
    <mergeCell ref="B22:I25"/>
    <mergeCell ref="R9:R17"/>
    <mergeCell ref="P9:P17"/>
    <mergeCell ref="P18:P21"/>
    <mergeCell ref="Q18:Q21"/>
    <mergeCell ref="R18:R21"/>
    <mergeCell ref="J12:J17"/>
    <mergeCell ref="K12:K17"/>
    <mergeCell ref="L12:L17"/>
    <mergeCell ref="O22:O29"/>
    <mergeCell ref="B26:I29"/>
    <mergeCell ref="S9:S17"/>
    <mergeCell ref="T9:T17"/>
    <mergeCell ref="P22:P29"/>
    <mergeCell ref="Q22:Q29"/>
    <mergeCell ref="R22:R29"/>
    <mergeCell ref="A31:A42"/>
    <mergeCell ref="B31:C32"/>
    <mergeCell ref="D31:E32"/>
    <mergeCell ref="F31:I32"/>
    <mergeCell ref="J31:J42"/>
    <mergeCell ref="K31:K42"/>
    <mergeCell ref="B35:I38"/>
    <mergeCell ref="B33:C34"/>
    <mergeCell ref="D33:E34"/>
    <mergeCell ref="F33:I34"/>
    <mergeCell ref="Z18:AA21"/>
    <mergeCell ref="B20:C21"/>
    <mergeCell ref="D20:E21"/>
    <mergeCell ref="F20:I21"/>
    <mergeCell ref="K18:K29"/>
    <mergeCell ref="L18:L23"/>
    <mergeCell ref="M18:M21"/>
    <mergeCell ref="N18:N21"/>
    <mergeCell ref="O18:O21"/>
    <mergeCell ref="L24:L29"/>
    <mergeCell ref="Z24:Z25"/>
    <mergeCell ref="S18:S21"/>
    <mergeCell ref="T18:T21"/>
    <mergeCell ref="U18:U21"/>
    <mergeCell ref="V18:V21"/>
    <mergeCell ref="W18:W21"/>
    <mergeCell ref="X18:X21"/>
    <mergeCell ref="Y18:Y21"/>
    <mergeCell ref="W22:W29"/>
    <mergeCell ref="X22:X29"/>
    <mergeCell ref="Y22:Y29"/>
    <mergeCell ref="A18:A29"/>
    <mergeCell ref="Z22:Z23"/>
    <mergeCell ref="AA22:AA23"/>
    <mergeCell ref="M22:M29"/>
    <mergeCell ref="N22:N29"/>
    <mergeCell ref="AA24:AA25"/>
    <mergeCell ref="Z26:Z27"/>
    <mergeCell ref="AA26:AA27"/>
    <mergeCell ref="Z28:Z29"/>
    <mergeCell ref="AA28:AA29"/>
    <mergeCell ref="S22:S29"/>
    <mergeCell ref="T22:T29"/>
    <mergeCell ref="U22:U29"/>
    <mergeCell ref="V22:V29"/>
    <mergeCell ref="S31:S34"/>
    <mergeCell ref="T31:T34"/>
    <mergeCell ref="U31:U34"/>
    <mergeCell ref="V31:V34"/>
    <mergeCell ref="W31:W34"/>
    <mergeCell ref="Z37:Z38"/>
    <mergeCell ref="AA37:AA38"/>
    <mergeCell ref="R35:R38"/>
    <mergeCell ref="Z35:Z36"/>
    <mergeCell ref="AA35:AA36"/>
    <mergeCell ref="Q39:Q42"/>
    <mergeCell ref="P35:P38"/>
    <mergeCell ref="Q35:Q38"/>
    <mergeCell ref="R39:R42"/>
    <mergeCell ref="Z39:Z40"/>
    <mergeCell ref="B39:I42"/>
    <mergeCell ref="M39:M42"/>
    <mergeCell ref="N39:N42"/>
    <mergeCell ref="O39:O42"/>
    <mergeCell ref="P39:P42"/>
    <mergeCell ref="L37:L42"/>
    <mergeCell ref="P31:P34"/>
    <mergeCell ref="M35:M38"/>
    <mergeCell ref="N35:N38"/>
    <mergeCell ref="O35:O38"/>
    <mergeCell ref="Q31:Q34"/>
    <mergeCell ref="R31:R34"/>
    <mergeCell ref="Z31:AA34"/>
    <mergeCell ref="L31:L36"/>
    <mergeCell ref="M31:M34"/>
    <mergeCell ref="N31:N34"/>
    <mergeCell ref="O31:O34"/>
    <mergeCell ref="X31:X34"/>
    <mergeCell ref="Y31:Y34"/>
    <mergeCell ref="S35:S38"/>
    <mergeCell ref="T35:T38"/>
    <mergeCell ref="U35:U38"/>
    <mergeCell ref="Z52:Z53"/>
    <mergeCell ref="AA52:AA53"/>
    <mergeCell ref="Z54:Z55"/>
    <mergeCell ref="AA54:AA55"/>
    <mergeCell ref="L52:L59"/>
    <mergeCell ref="M52:M55"/>
    <mergeCell ref="N52:N55"/>
    <mergeCell ref="O52:O55"/>
    <mergeCell ref="P52:P55"/>
    <mergeCell ref="Z56:Z57"/>
    <mergeCell ref="AA56:AA57"/>
    <mergeCell ref="Z58:Z59"/>
    <mergeCell ref="AA58:AA59"/>
    <mergeCell ref="M56:M59"/>
    <mergeCell ref="N56:N59"/>
    <mergeCell ref="AA39:AA40"/>
    <mergeCell ref="Z41:Z42"/>
    <mergeCell ref="AA41:AA42"/>
    <mergeCell ref="Z48:Z49"/>
    <mergeCell ref="AA48:AA49"/>
    <mergeCell ref="Z50:Z51"/>
    <mergeCell ref="Q52:Q55"/>
    <mergeCell ref="R52:R55"/>
    <mergeCell ref="Q56:Q59"/>
    <mergeCell ref="AA50:AA51"/>
    <mergeCell ref="Z44:AA47"/>
    <mergeCell ref="S48:S51"/>
    <mergeCell ref="T48:T51"/>
    <mergeCell ref="U48:U51"/>
    <mergeCell ref="V48:V51"/>
    <mergeCell ref="W48:W51"/>
    <mergeCell ref="B69:I72"/>
    <mergeCell ref="M69:M72"/>
    <mergeCell ref="N69:N72"/>
    <mergeCell ref="O69:O72"/>
    <mergeCell ref="A61:A72"/>
    <mergeCell ref="B61:C62"/>
    <mergeCell ref="D61:E62"/>
    <mergeCell ref="F61:I62"/>
    <mergeCell ref="J61:J72"/>
    <mergeCell ref="K61:K72"/>
    <mergeCell ref="B65:I68"/>
    <mergeCell ref="L67:L72"/>
    <mergeCell ref="M65:M68"/>
    <mergeCell ref="N65:N68"/>
    <mergeCell ref="O65:O68"/>
    <mergeCell ref="R56:R59"/>
    <mergeCell ref="A44:A59"/>
    <mergeCell ref="Q61:Q64"/>
    <mergeCell ref="R61:R64"/>
    <mergeCell ref="K44:K59"/>
    <mergeCell ref="P69:P72"/>
    <mergeCell ref="Q69:Q72"/>
    <mergeCell ref="Q44:Q47"/>
    <mergeCell ref="R44:R47"/>
    <mergeCell ref="Q48:Q51"/>
    <mergeCell ref="R48:R51"/>
    <mergeCell ref="B44:C45"/>
    <mergeCell ref="D44:E45"/>
    <mergeCell ref="F44:I45"/>
    <mergeCell ref="J44:J59"/>
    <mergeCell ref="B48:C49"/>
    <mergeCell ref="D48:E49"/>
    <mergeCell ref="F48:I49"/>
    <mergeCell ref="B50:I55"/>
    <mergeCell ref="P48:P51"/>
    <mergeCell ref="B56:I59"/>
    <mergeCell ref="O44:O47"/>
    <mergeCell ref="P44:P47"/>
    <mergeCell ref="M48:M51"/>
    <mergeCell ref="N48:N51"/>
    <mergeCell ref="O48:O51"/>
    <mergeCell ref="B46:C47"/>
    <mergeCell ref="D46:E47"/>
    <mergeCell ref="F46:I47"/>
    <mergeCell ref="L44:L51"/>
    <mergeCell ref="M44:M47"/>
    <mergeCell ref="N44:N47"/>
    <mergeCell ref="O56:O59"/>
    <mergeCell ref="P56:P59"/>
    <mergeCell ref="Z61:AA64"/>
    <mergeCell ref="B63:C64"/>
    <mergeCell ref="D63:E64"/>
    <mergeCell ref="F63:I64"/>
    <mergeCell ref="L61:L66"/>
    <mergeCell ref="M61:M64"/>
    <mergeCell ref="N61:N64"/>
    <mergeCell ref="O61:O64"/>
    <mergeCell ref="P61:P64"/>
    <mergeCell ref="S61:S64"/>
    <mergeCell ref="T61:T64"/>
    <mergeCell ref="U61:U64"/>
    <mergeCell ref="V61:V64"/>
    <mergeCell ref="W61:W64"/>
    <mergeCell ref="X61:X64"/>
    <mergeCell ref="Y61:Y64"/>
    <mergeCell ref="U65:U68"/>
    <mergeCell ref="V65:V68"/>
    <mergeCell ref="W65:W68"/>
    <mergeCell ref="X65:X68"/>
    <mergeCell ref="Y65:Y68"/>
    <mergeCell ref="Z65:Z66"/>
    <mergeCell ref="AA65:AA66"/>
    <mergeCell ref="Z74:AA77"/>
    <mergeCell ref="R69:R72"/>
    <mergeCell ref="Z78:Z79"/>
    <mergeCell ref="AA78:AA79"/>
    <mergeCell ref="Q74:Q77"/>
    <mergeCell ref="R74:R77"/>
    <mergeCell ref="Z69:Z70"/>
    <mergeCell ref="AA69:AA70"/>
    <mergeCell ref="Z71:Z72"/>
    <mergeCell ref="AA71:AA72"/>
    <mergeCell ref="Z67:Z68"/>
    <mergeCell ref="AA67:AA68"/>
    <mergeCell ref="R65:R68"/>
    <mergeCell ref="P65:P68"/>
    <mergeCell ref="Q65:Q68"/>
    <mergeCell ref="S65:S68"/>
    <mergeCell ref="T65:T68"/>
    <mergeCell ref="P78:P81"/>
    <mergeCell ref="Q78:Q81"/>
    <mergeCell ref="R78:R81"/>
    <mergeCell ref="S78:S81"/>
    <mergeCell ref="T78:T81"/>
    <mergeCell ref="U78:U81"/>
    <mergeCell ref="V78:V81"/>
    <mergeCell ref="W78:W81"/>
    <mergeCell ref="X78:X81"/>
    <mergeCell ref="Y78:Y81"/>
    <mergeCell ref="U69:U72"/>
    <mergeCell ref="V69:V72"/>
    <mergeCell ref="W69:W72"/>
    <mergeCell ref="X69:X72"/>
    <mergeCell ref="Y69:Y72"/>
    <mergeCell ref="AA84:AA85"/>
    <mergeCell ref="Z80:Z81"/>
    <mergeCell ref="AA80:AA81"/>
    <mergeCell ref="A87:A98"/>
    <mergeCell ref="B87:C88"/>
    <mergeCell ref="D87:E88"/>
    <mergeCell ref="F87:I88"/>
    <mergeCell ref="J87:J98"/>
    <mergeCell ref="K87:K98"/>
    <mergeCell ref="B91:I94"/>
    <mergeCell ref="P82:P85"/>
    <mergeCell ref="L80:L85"/>
    <mergeCell ref="M82:M85"/>
    <mergeCell ref="A74:A85"/>
    <mergeCell ref="B74:C75"/>
    <mergeCell ref="D74:E75"/>
    <mergeCell ref="F74:I75"/>
    <mergeCell ref="P74:P77"/>
    <mergeCell ref="M78:M81"/>
    <mergeCell ref="N82:N85"/>
    <mergeCell ref="O82:O85"/>
    <mergeCell ref="J74:J85"/>
    <mergeCell ref="K74:K85"/>
    <mergeCell ref="B78:I81"/>
    <mergeCell ref="B82:I85"/>
    <mergeCell ref="O74:O77"/>
    <mergeCell ref="Q82:Q85"/>
    <mergeCell ref="R82:R85"/>
    <mergeCell ref="N78:N81"/>
    <mergeCell ref="O78:O81"/>
    <mergeCell ref="B76:C77"/>
    <mergeCell ref="D76:E77"/>
    <mergeCell ref="F76:I77"/>
    <mergeCell ref="L74:L79"/>
    <mergeCell ref="M74:M77"/>
    <mergeCell ref="N74:N77"/>
    <mergeCell ref="Z87:AA90"/>
    <mergeCell ref="B89:C90"/>
    <mergeCell ref="D89:E90"/>
    <mergeCell ref="F89:I90"/>
    <mergeCell ref="L87:L92"/>
    <mergeCell ref="M87:M90"/>
    <mergeCell ref="N87:N90"/>
    <mergeCell ref="O87:O90"/>
    <mergeCell ref="P87:P90"/>
    <mergeCell ref="P91:P94"/>
    <mergeCell ref="Q91:Q94"/>
    <mergeCell ref="AA93:AA94"/>
    <mergeCell ref="R91:R94"/>
    <mergeCell ref="Z91:Z92"/>
    <mergeCell ref="AA91:AA92"/>
    <mergeCell ref="M91:M94"/>
    <mergeCell ref="N91:N94"/>
    <mergeCell ref="O91:O94"/>
    <mergeCell ref="Q87:Q90"/>
    <mergeCell ref="R87:R90"/>
    <mergeCell ref="Z82:Z83"/>
    <mergeCell ref="AA82:AA83"/>
    <mergeCell ref="Z84:Z85"/>
    <mergeCell ref="L93:L98"/>
    <mergeCell ref="Z93:Z94"/>
    <mergeCell ref="S74:S77"/>
    <mergeCell ref="T74:T77"/>
    <mergeCell ref="U74:U77"/>
    <mergeCell ref="A100:A111"/>
    <mergeCell ref="B104:I107"/>
    <mergeCell ref="Z100:AA103"/>
    <mergeCell ref="B102:C103"/>
    <mergeCell ref="Q100:Q103"/>
    <mergeCell ref="P104:P107"/>
    <mergeCell ref="AA95:AA96"/>
    <mergeCell ref="Z97:Z98"/>
    <mergeCell ref="AA97:AA98"/>
    <mergeCell ref="P95:P98"/>
    <mergeCell ref="Q95:Q98"/>
    <mergeCell ref="R95:R98"/>
    <mergeCell ref="Z95:Z96"/>
    <mergeCell ref="B95:I98"/>
    <mergeCell ref="M95:M98"/>
    <mergeCell ref="N95:N98"/>
    <mergeCell ref="O95:O98"/>
    <mergeCell ref="M100:M103"/>
    <mergeCell ref="N100:N103"/>
    <mergeCell ref="O100:O103"/>
    <mergeCell ref="P100:P103"/>
    <mergeCell ref="O108:O111"/>
    <mergeCell ref="P108:P111"/>
    <mergeCell ref="N108:N111"/>
    <mergeCell ref="Q104:Q107"/>
    <mergeCell ref="R104:R107"/>
    <mergeCell ref="M104:M107"/>
    <mergeCell ref="N104:N107"/>
    <mergeCell ref="O104:O107"/>
    <mergeCell ref="R100:R103"/>
    <mergeCell ref="B100:C101"/>
    <mergeCell ref="D100:I103"/>
    <mergeCell ref="J100:J111"/>
    <mergeCell ref="K100:K111"/>
    <mergeCell ref="L100:L105"/>
    <mergeCell ref="B108:I111"/>
    <mergeCell ref="Z104:Z105"/>
    <mergeCell ref="AA104:AA105"/>
    <mergeCell ref="L106:L111"/>
    <mergeCell ref="Z106:Z107"/>
    <mergeCell ref="AA106:AA107"/>
    <mergeCell ref="M108:M111"/>
    <mergeCell ref="R113:R116"/>
    <mergeCell ref="Z113:AA116"/>
    <mergeCell ref="S113:S116"/>
    <mergeCell ref="T113:T116"/>
    <mergeCell ref="U113:U116"/>
    <mergeCell ref="S104:S107"/>
    <mergeCell ref="T104:T107"/>
    <mergeCell ref="U104:U107"/>
    <mergeCell ref="V104:V107"/>
    <mergeCell ref="W104:W107"/>
    <mergeCell ref="X104:X107"/>
    <mergeCell ref="Y104:Y107"/>
    <mergeCell ref="S108:S111"/>
    <mergeCell ref="T108:T111"/>
    <mergeCell ref="U108:U111"/>
    <mergeCell ref="V108:V111"/>
    <mergeCell ref="W108:W111"/>
    <mergeCell ref="X108:X111"/>
    <mergeCell ref="Y108:Y111"/>
    <mergeCell ref="V113:V116"/>
    <mergeCell ref="W113:W116"/>
    <mergeCell ref="X113:X116"/>
    <mergeCell ref="P304:P307"/>
    <mergeCell ref="R300:R303"/>
    <mergeCell ref="M300:M303"/>
    <mergeCell ref="N300:N303"/>
    <mergeCell ref="O300:O303"/>
    <mergeCell ref="P300:P303"/>
    <mergeCell ref="P296:P299"/>
    <mergeCell ref="O152:O155"/>
    <mergeCell ref="P152:P155"/>
    <mergeCell ref="AA158:AA159"/>
    <mergeCell ref="P160:P163"/>
    <mergeCell ref="Z121:Z122"/>
    <mergeCell ref="AA121:AA122"/>
    <mergeCell ref="Z123:Z124"/>
    <mergeCell ref="AA123:AA124"/>
    <mergeCell ref="Y134:Y137"/>
    <mergeCell ref="T134:T137"/>
    <mergeCell ref="P126:P129"/>
    <mergeCell ref="Q126:Q129"/>
    <mergeCell ref="R126:R129"/>
    <mergeCell ref="Z126:AA129"/>
    <mergeCell ref="S126:S129"/>
    <mergeCell ref="P130:P133"/>
    <mergeCell ref="Q130:Q133"/>
    <mergeCell ref="R130:R133"/>
    <mergeCell ref="U134:U137"/>
    <mergeCell ref="V134:V137"/>
    <mergeCell ref="W134:W137"/>
    <mergeCell ref="X134:X137"/>
    <mergeCell ref="Z160:Z161"/>
    <mergeCell ref="AA160:AA161"/>
    <mergeCell ref="Z162:Z163"/>
    <mergeCell ref="A296:K307"/>
    <mergeCell ref="L296:L303"/>
    <mergeCell ref="M296:M299"/>
    <mergeCell ref="N296:N299"/>
    <mergeCell ref="O296:O299"/>
    <mergeCell ref="L304:L307"/>
    <mergeCell ref="Z108:Z109"/>
    <mergeCell ref="AA108:AA109"/>
    <mergeCell ref="Z110:Z111"/>
    <mergeCell ref="AA110:AA111"/>
    <mergeCell ref="Q108:Q111"/>
    <mergeCell ref="R108:R111"/>
    <mergeCell ref="Q304:Q307"/>
    <mergeCell ref="R304:R307"/>
    <mergeCell ref="Q300:Q303"/>
    <mergeCell ref="Q296:Q299"/>
    <mergeCell ref="R296:R299"/>
    <mergeCell ref="Q152:Q155"/>
    <mergeCell ref="R152:R155"/>
    <mergeCell ref="Z152:AA155"/>
    <mergeCell ref="Z156:Z157"/>
    <mergeCell ref="AA156:AA157"/>
    <mergeCell ref="Z158:Z159"/>
    <mergeCell ref="R117:R120"/>
    <mergeCell ref="Z117:Z118"/>
    <mergeCell ref="AA117:AA118"/>
    <mergeCell ref="Z119:Z120"/>
    <mergeCell ref="AA119:AA120"/>
    <mergeCell ref="R121:R124"/>
    <mergeCell ref="M304:M307"/>
    <mergeCell ref="O304:O307"/>
    <mergeCell ref="N304:N307"/>
    <mergeCell ref="B154:C155"/>
    <mergeCell ref="D154:E155"/>
    <mergeCell ref="F154:I155"/>
    <mergeCell ref="S152:S155"/>
    <mergeCell ref="T152:T155"/>
    <mergeCell ref="U152:U155"/>
    <mergeCell ref="V152:V155"/>
    <mergeCell ref="W152:W155"/>
    <mergeCell ref="X152:X155"/>
    <mergeCell ref="Y152:Y155"/>
    <mergeCell ref="A152:A163"/>
    <mergeCell ref="B152:C153"/>
    <mergeCell ref="D152:E153"/>
    <mergeCell ref="F152:I153"/>
    <mergeCell ref="J152:J163"/>
    <mergeCell ref="K152:K163"/>
    <mergeCell ref="L152:L157"/>
    <mergeCell ref="M152:M155"/>
    <mergeCell ref="N152:N155"/>
    <mergeCell ref="B156:I159"/>
    <mergeCell ref="M156:M159"/>
    <mergeCell ref="N156:N159"/>
    <mergeCell ref="B160:I163"/>
    <mergeCell ref="O156:O159"/>
    <mergeCell ref="P156:P159"/>
    <mergeCell ref="Q156:Q159"/>
    <mergeCell ref="R156:R159"/>
    <mergeCell ref="L158:L163"/>
    <mergeCell ref="M160:M163"/>
    <mergeCell ref="N160:N163"/>
    <mergeCell ref="O160:O163"/>
    <mergeCell ref="R160:R163"/>
    <mergeCell ref="AA162:AA163"/>
    <mergeCell ref="S156:S159"/>
    <mergeCell ref="O222:O225"/>
    <mergeCell ref="P222:P225"/>
    <mergeCell ref="Q222:Q225"/>
    <mergeCell ref="R222:R225"/>
    <mergeCell ref="Z222:AA225"/>
    <mergeCell ref="B224:C225"/>
    <mergeCell ref="D224:E225"/>
    <mergeCell ref="F224:I225"/>
    <mergeCell ref="S222:S225"/>
    <mergeCell ref="T222:T225"/>
    <mergeCell ref="U222:U225"/>
    <mergeCell ref="V222:V225"/>
    <mergeCell ref="W222:W225"/>
    <mergeCell ref="X222:X225"/>
    <mergeCell ref="Y222:Y225"/>
    <mergeCell ref="Q165:Q168"/>
    <mergeCell ref="R165:R168"/>
    <mergeCell ref="Z165:AA168"/>
    <mergeCell ref="B167:C168"/>
    <mergeCell ref="D165:I168"/>
    <mergeCell ref="S165:S168"/>
    <mergeCell ref="T165:T168"/>
    <mergeCell ref="U165:U168"/>
    <mergeCell ref="V165:V168"/>
    <mergeCell ref="D180:I181"/>
    <mergeCell ref="AA184:AA185"/>
    <mergeCell ref="Z169:Z170"/>
    <mergeCell ref="AA169:AA170"/>
    <mergeCell ref="L171:L176"/>
    <mergeCell ref="Z171:Z172"/>
    <mergeCell ref="A222:A233"/>
    <mergeCell ref="B222:C223"/>
    <mergeCell ref="D222:E223"/>
    <mergeCell ref="F222:I223"/>
    <mergeCell ref="J222:J233"/>
    <mergeCell ref="K222:K233"/>
    <mergeCell ref="L222:L227"/>
    <mergeCell ref="M222:M225"/>
    <mergeCell ref="N222:N225"/>
    <mergeCell ref="B226:I229"/>
    <mergeCell ref="M226:M229"/>
    <mergeCell ref="N226:N229"/>
    <mergeCell ref="B230:I233"/>
    <mergeCell ref="O226:O229"/>
    <mergeCell ref="P226:P229"/>
    <mergeCell ref="Q226:Q229"/>
    <mergeCell ref="Q160:Q163"/>
    <mergeCell ref="M186:M189"/>
    <mergeCell ref="N186:N189"/>
    <mergeCell ref="O186:O189"/>
    <mergeCell ref="P186:P189"/>
    <mergeCell ref="A165:A176"/>
    <mergeCell ref="B165:C166"/>
    <mergeCell ref="J165:J176"/>
    <mergeCell ref="K165:K176"/>
    <mergeCell ref="L165:L170"/>
    <mergeCell ref="M165:M168"/>
    <mergeCell ref="N165:N168"/>
    <mergeCell ref="B169:I172"/>
    <mergeCell ref="M169:M172"/>
    <mergeCell ref="N169:N172"/>
    <mergeCell ref="B173:I176"/>
    <mergeCell ref="R226:R229"/>
    <mergeCell ref="Z226:Z227"/>
    <mergeCell ref="AA226:AA227"/>
    <mergeCell ref="L228:L233"/>
    <mergeCell ref="Z228:Z229"/>
    <mergeCell ref="AA228:AA229"/>
    <mergeCell ref="M230:M233"/>
    <mergeCell ref="N230:N233"/>
    <mergeCell ref="O230:O233"/>
    <mergeCell ref="P230:P233"/>
    <mergeCell ref="Q230:Q233"/>
    <mergeCell ref="R230:R233"/>
    <mergeCell ref="Z230:Z231"/>
    <mergeCell ref="AA230:AA231"/>
    <mergeCell ref="Z232:Z233"/>
    <mergeCell ref="AA232:AA233"/>
    <mergeCell ref="S226:S229"/>
    <mergeCell ref="T226:T229"/>
    <mergeCell ref="U226:U229"/>
    <mergeCell ref="V226:V229"/>
    <mergeCell ref="W226:W229"/>
    <mergeCell ref="X226:X229"/>
    <mergeCell ref="Y226:Y229"/>
    <mergeCell ref="S230:S233"/>
    <mergeCell ref="T230:T233"/>
    <mergeCell ref="U230:U233"/>
    <mergeCell ref="V230:V233"/>
    <mergeCell ref="W230:W233"/>
    <mergeCell ref="X230:X233"/>
    <mergeCell ref="Y230:Y233"/>
    <mergeCell ref="AA171:AA172"/>
    <mergeCell ref="M173:M176"/>
    <mergeCell ref="N173:N176"/>
    <mergeCell ref="O173:O176"/>
    <mergeCell ref="P173:P176"/>
    <mergeCell ref="Q173:Q176"/>
    <mergeCell ref="R173:R176"/>
    <mergeCell ref="Z173:Z174"/>
    <mergeCell ref="AA173:AA174"/>
    <mergeCell ref="Z175:Z176"/>
    <mergeCell ref="AA175:AA176"/>
    <mergeCell ref="S169:S172"/>
    <mergeCell ref="B180:C181"/>
    <mergeCell ref="S178:S181"/>
    <mergeCell ref="T178:T181"/>
    <mergeCell ref="U178:U181"/>
    <mergeCell ref="V178:V181"/>
    <mergeCell ref="W178:W181"/>
    <mergeCell ref="X178:X181"/>
    <mergeCell ref="Y178:Y181"/>
    <mergeCell ref="O169:O172"/>
    <mergeCell ref="P169:P172"/>
    <mergeCell ref="Q169:Q172"/>
    <mergeCell ref="R169:R172"/>
    <mergeCell ref="S173:S176"/>
    <mergeCell ref="A178:A189"/>
    <mergeCell ref="B178:C179"/>
    <mergeCell ref="D178:E179"/>
    <mergeCell ref="F178:I179"/>
    <mergeCell ref="J178:J189"/>
    <mergeCell ref="K178:K189"/>
    <mergeCell ref="L178:L183"/>
    <mergeCell ref="M178:M181"/>
    <mergeCell ref="N178:N181"/>
    <mergeCell ref="B182:I185"/>
    <mergeCell ref="M182:M185"/>
    <mergeCell ref="N182:N185"/>
    <mergeCell ref="B186:I189"/>
    <mergeCell ref="L184:L189"/>
    <mergeCell ref="AA186:AA187"/>
    <mergeCell ref="Z188:Z189"/>
    <mergeCell ref="AA188:AA189"/>
    <mergeCell ref="S182:S185"/>
    <mergeCell ref="Z178:AA181"/>
    <mergeCell ref="Z182:Z183"/>
    <mergeCell ref="AA182:AA183"/>
    <mergeCell ref="O182:O185"/>
    <mergeCell ref="P182:P185"/>
    <mergeCell ref="Q182:Q185"/>
    <mergeCell ref="R182:R185"/>
    <mergeCell ref="O178:O181"/>
    <mergeCell ref="P178:P181"/>
    <mergeCell ref="Q178:Q181"/>
    <mergeCell ref="R178:R181"/>
    <mergeCell ref="S186:S189"/>
    <mergeCell ref="T186:T189"/>
    <mergeCell ref="U186:U189"/>
    <mergeCell ref="V35:V38"/>
    <mergeCell ref="W35:W38"/>
    <mergeCell ref="X35:X38"/>
    <mergeCell ref="Y35:Y38"/>
    <mergeCell ref="S52:S55"/>
    <mergeCell ref="T52:T55"/>
    <mergeCell ref="U52:U55"/>
    <mergeCell ref="V52:V55"/>
    <mergeCell ref="W52:W55"/>
    <mergeCell ref="X52:X55"/>
    <mergeCell ref="Y52:Y55"/>
    <mergeCell ref="S56:S59"/>
    <mergeCell ref="T56:T59"/>
    <mergeCell ref="U56:U59"/>
    <mergeCell ref="V56:V59"/>
    <mergeCell ref="X48:X51"/>
    <mergeCell ref="Y48:Y51"/>
    <mergeCell ref="O165:O168"/>
    <mergeCell ref="P165:P168"/>
    <mergeCell ref="Q186:Q189"/>
    <mergeCell ref="R186:R189"/>
    <mergeCell ref="Z186:Z187"/>
    <mergeCell ref="Z184:Z185"/>
    <mergeCell ref="W56:W59"/>
    <mergeCell ref="X56:X59"/>
    <mergeCell ref="Y56:Y59"/>
    <mergeCell ref="S39:S42"/>
    <mergeCell ref="T39:T42"/>
    <mergeCell ref="U39:U42"/>
    <mergeCell ref="V39:V42"/>
    <mergeCell ref="W39:W42"/>
    <mergeCell ref="X39:X42"/>
    <mergeCell ref="Y39:Y42"/>
    <mergeCell ref="S44:S47"/>
    <mergeCell ref="T44:T47"/>
    <mergeCell ref="U44:U47"/>
    <mergeCell ref="V44:V47"/>
    <mergeCell ref="W44:W47"/>
    <mergeCell ref="X44:X47"/>
    <mergeCell ref="Y44:Y47"/>
    <mergeCell ref="S82:S85"/>
    <mergeCell ref="T82:T85"/>
    <mergeCell ref="U82:U85"/>
    <mergeCell ref="V82:V85"/>
    <mergeCell ref="W82:W85"/>
    <mergeCell ref="X82:X85"/>
    <mergeCell ref="Y82:Y85"/>
    <mergeCell ref="S69:S72"/>
    <mergeCell ref="T69:T72"/>
    <mergeCell ref="V74:V77"/>
    <mergeCell ref="W74:W77"/>
    <mergeCell ref="X74:X77"/>
    <mergeCell ref="Y74:Y77"/>
    <mergeCell ref="S95:S98"/>
    <mergeCell ref="T95:T98"/>
    <mergeCell ref="U95:U98"/>
    <mergeCell ref="V95:V98"/>
    <mergeCell ref="W95:W98"/>
    <mergeCell ref="X95:X98"/>
    <mergeCell ref="Y95:Y98"/>
    <mergeCell ref="S100:S103"/>
    <mergeCell ref="T100:T103"/>
    <mergeCell ref="U100:U103"/>
    <mergeCell ref="V100:V103"/>
    <mergeCell ref="W100:W103"/>
    <mergeCell ref="X100:X103"/>
    <mergeCell ref="Y100:Y103"/>
    <mergeCell ref="S87:S90"/>
    <mergeCell ref="T87:T90"/>
    <mergeCell ref="U87:U90"/>
    <mergeCell ref="V87:V90"/>
    <mergeCell ref="W87:W90"/>
    <mergeCell ref="X87:X90"/>
    <mergeCell ref="Y87:Y90"/>
    <mergeCell ref="S91:S94"/>
    <mergeCell ref="T91:T94"/>
    <mergeCell ref="U91:U94"/>
    <mergeCell ref="V91:V94"/>
    <mergeCell ref="W91:W94"/>
    <mergeCell ref="X91:X94"/>
    <mergeCell ref="Y91:Y94"/>
    <mergeCell ref="T156:T159"/>
    <mergeCell ref="U156:U159"/>
    <mergeCell ref="V156:V159"/>
    <mergeCell ref="W156:W159"/>
    <mergeCell ref="X156:X159"/>
    <mergeCell ref="Y156:Y159"/>
    <mergeCell ref="S160:S163"/>
    <mergeCell ref="Y113:Y116"/>
    <mergeCell ref="T126:T129"/>
    <mergeCell ref="U126:U129"/>
    <mergeCell ref="V126:V129"/>
    <mergeCell ref="W126:W129"/>
    <mergeCell ref="X126:X129"/>
    <mergeCell ref="Y126:Y129"/>
    <mergeCell ref="S130:S133"/>
    <mergeCell ref="T130:T133"/>
    <mergeCell ref="U130:U133"/>
    <mergeCell ref="V130:V133"/>
    <mergeCell ref="W130:W133"/>
    <mergeCell ref="X130:X133"/>
    <mergeCell ref="Y130:Y133"/>
    <mergeCell ref="T117:T120"/>
    <mergeCell ref="U117:U120"/>
    <mergeCell ref="V117:V120"/>
    <mergeCell ref="W117:W120"/>
    <mergeCell ref="X117:X120"/>
    <mergeCell ref="Y117:Y120"/>
    <mergeCell ref="S121:S124"/>
    <mergeCell ref="T121:T124"/>
    <mergeCell ref="U121:U124"/>
    <mergeCell ref="V121:V124"/>
    <mergeCell ref="W121:W124"/>
    <mergeCell ref="Y121:Y124"/>
    <mergeCell ref="S117:S120"/>
    <mergeCell ref="T143:T146"/>
    <mergeCell ref="U143:U146"/>
    <mergeCell ref="V143:V146"/>
    <mergeCell ref="W143:W146"/>
    <mergeCell ref="X143:X146"/>
    <mergeCell ref="Y143:Y146"/>
    <mergeCell ref="S147:S150"/>
    <mergeCell ref="T147:T150"/>
    <mergeCell ref="U147:U150"/>
    <mergeCell ref="V147:V150"/>
    <mergeCell ref="W147:W150"/>
    <mergeCell ref="X147:X150"/>
    <mergeCell ref="Y147:Y150"/>
    <mergeCell ref="S139:S142"/>
    <mergeCell ref="T139:T142"/>
    <mergeCell ref="U139:U142"/>
    <mergeCell ref="V139:V142"/>
    <mergeCell ref="W139:W142"/>
    <mergeCell ref="X139:X142"/>
    <mergeCell ref="Y139:Y142"/>
    <mergeCell ref="X121:X124"/>
    <mergeCell ref="T160:T163"/>
    <mergeCell ref="U160:U163"/>
    <mergeCell ref="V160:V163"/>
    <mergeCell ref="W160:W163"/>
    <mergeCell ref="X160:X163"/>
    <mergeCell ref="Y160:Y163"/>
    <mergeCell ref="W165:W168"/>
    <mergeCell ref="X165:X168"/>
    <mergeCell ref="Y165:Y168"/>
    <mergeCell ref="T182:T185"/>
    <mergeCell ref="U182:U185"/>
    <mergeCell ref="V182:V185"/>
    <mergeCell ref="W182:W185"/>
    <mergeCell ref="X182:X185"/>
    <mergeCell ref="Y182:Y185"/>
    <mergeCell ref="Y186:Y189"/>
    <mergeCell ref="T169:T172"/>
    <mergeCell ref="U169:U172"/>
    <mergeCell ref="V169:V172"/>
    <mergeCell ref="W169:W172"/>
    <mergeCell ref="X169:X172"/>
    <mergeCell ref="Y169:Y172"/>
    <mergeCell ref="T173:T176"/>
    <mergeCell ref="U173:U176"/>
    <mergeCell ref="V173:V176"/>
    <mergeCell ref="W173:W176"/>
    <mergeCell ref="X173:X176"/>
    <mergeCell ref="Y173:Y176"/>
    <mergeCell ref="V186:V189"/>
    <mergeCell ref="W186:W189"/>
    <mergeCell ref="X186:X189"/>
    <mergeCell ref="S304:S307"/>
    <mergeCell ref="T304:T307"/>
    <mergeCell ref="U304:U307"/>
    <mergeCell ref="V304:V307"/>
    <mergeCell ref="W304:W307"/>
    <mergeCell ref="X304:X307"/>
    <mergeCell ref="Y304:Y307"/>
    <mergeCell ref="S296:S299"/>
    <mergeCell ref="T296:T299"/>
    <mergeCell ref="U296:U299"/>
    <mergeCell ref="V296:V299"/>
    <mergeCell ref="W296:W299"/>
    <mergeCell ref="X296:X299"/>
    <mergeCell ref="Y296:Y299"/>
    <mergeCell ref="S300:S303"/>
    <mergeCell ref="T300:T303"/>
    <mergeCell ref="U300:U303"/>
    <mergeCell ref="V300:V303"/>
    <mergeCell ref="W300:W303"/>
    <mergeCell ref="X300:X303"/>
    <mergeCell ref="Y300:Y303"/>
    <mergeCell ref="A191:A202"/>
    <mergeCell ref="B191:C192"/>
    <mergeCell ref="D191:E192"/>
    <mergeCell ref="F191:I192"/>
    <mergeCell ref="J191:J202"/>
    <mergeCell ref="K191:K202"/>
    <mergeCell ref="L191:L196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P199:P202"/>
    <mergeCell ref="Q199:Q202"/>
    <mergeCell ref="R199:R202"/>
    <mergeCell ref="S199:S202"/>
    <mergeCell ref="T199:T202"/>
    <mergeCell ref="U199:U202"/>
    <mergeCell ref="N199:N202"/>
    <mergeCell ref="O199:O202"/>
    <mergeCell ref="V191:V194"/>
    <mergeCell ref="W191:W194"/>
    <mergeCell ref="X191:X194"/>
    <mergeCell ref="Z191:AA194"/>
    <mergeCell ref="B193:C194"/>
    <mergeCell ref="D193:E194"/>
    <mergeCell ref="F193:I194"/>
    <mergeCell ref="B195:I198"/>
    <mergeCell ref="M195:M198"/>
    <mergeCell ref="N195:N198"/>
    <mergeCell ref="O195:O198"/>
    <mergeCell ref="P195:P198"/>
    <mergeCell ref="Q195:Q198"/>
    <mergeCell ref="R195:R198"/>
    <mergeCell ref="S195:S198"/>
    <mergeCell ref="T195:T198"/>
    <mergeCell ref="U195:U198"/>
    <mergeCell ref="V195:V198"/>
    <mergeCell ref="W195:W198"/>
    <mergeCell ref="X195:X198"/>
    <mergeCell ref="Y195:Y198"/>
    <mergeCell ref="Z195:Z196"/>
    <mergeCell ref="AA195:AA196"/>
    <mergeCell ref="L197:L202"/>
    <mergeCell ref="Z197:Z198"/>
    <mergeCell ref="AA197:AA198"/>
    <mergeCell ref="B199:I202"/>
    <mergeCell ref="M199:M202"/>
    <mergeCell ref="V199:V202"/>
    <mergeCell ref="W199:W202"/>
    <mergeCell ref="X199:X202"/>
    <mergeCell ref="Y199:Y202"/>
    <mergeCell ref="Y191:Y194"/>
    <mergeCell ref="Z199:Z200"/>
    <mergeCell ref="AA199:AA200"/>
    <mergeCell ref="Z201:Z202"/>
    <mergeCell ref="AA201:AA202"/>
    <mergeCell ref="A204:A211"/>
    <mergeCell ref="J204:J211"/>
    <mergeCell ref="K204:K211"/>
    <mergeCell ref="L204:L208"/>
    <mergeCell ref="M204:M207"/>
    <mergeCell ref="N204:N207"/>
    <mergeCell ref="O204:O207"/>
    <mergeCell ref="P204:P207"/>
    <mergeCell ref="Q204:Q207"/>
    <mergeCell ref="R204:R207"/>
    <mergeCell ref="S204:S207"/>
    <mergeCell ref="T204:T207"/>
    <mergeCell ref="U204:U207"/>
    <mergeCell ref="V204:V207"/>
    <mergeCell ref="W204:W207"/>
    <mergeCell ref="X204:X207"/>
    <mergeCell ref="Y204:Y207"/>
    <mergeCell ref="Z204:AA207"/>
    <mergeCell ref="B208:I211"/>
    <mergeCell ref="M208:M211"/>
    <mergeCell ref="O208:O211"/>
    <mergeCell ref="P208:P211"/>
    <mergeCell ref="Q208:Q211"/>
    <mergeCell ref="N208:N211"/>
    <mergeCell ref="S208:S211"/>
    <mergeCell ref="T208:T211"/>
    <mergeCell ref="U208:U211"/>
    <mergeCell ref="V208:V211"/>
    <mergeCell ref="W208:W211"/>
    <mergeCell ref="X208:X211"/>
    <mergeCell ref="Y208:Y211"/>
    <mergeCell ref="Z208:Z209"/>
    <mergeCell ref="AA208:AA209"/>
    <mergeCell ref="L209:L211"/>
    <mergeCell ref="Z210:Z211"/>
    <mergeCell ref="AA210:AA211"/>
    <mergeCell ref="A213:A220"/>
    <mergeCell ref="J213:J220"/>
    <mergeCell ref="K213:K220"/>
    <mergeCell ref="L213:L217"/>
    <mergeCell ref="M213:M216"/>
    <mergeCell ref="N213:N216"/>
    <mergeCell ref="O213:O216"/>
    <mergeCell ref="P213:P216"/>
    <mergeCell ref="Q213:Q216"/>
    <mergeCell ref="R213:R216"/>
    <mergeCell ref="S213:S216"/>
    <mergeCell ref="T213:T216"/>
    <mergeCell ref="U213:U216"/>
    <mergeCell ref="V213:V216"/>
    <mergeCell ref="W213:W216"/>
    <mergeCell ref="X213:X216"/>
    <mergeCell ref="R208:R211"/>
    <mergeCell ref="Y213:Y216"/>
    <mergeCell ref="Z213:AA216"/>
    <mergeCell ref="B217:I220"/>
    <mergeCell ref="M217:M220"/>
    <mergeCell ref="N217:N220"/>
    <mergeCell ref="O217:O220"/>
    <mergeCell ref="P217:P220"/>
    <mergeCell ref="Q217:Q220"/>
    <mergeCell ref="R217:R220"/>
    <mergeCell ref="S217:S220"/>
    <mergeCell ref="T217:T220"/>
    <mergeCell ref="U217:U220"/>
    <mergeCell ref="V217:V220"/>
    <mergeCell ref="W217:W220"/>
    <mergeCell ref="X217:X220"/>
    <mergeCell ref="Y217:Y220"/>
    <mergeCell ref="Z217:Z218"/>
    <mergeCell ref="AA217:AA218"/>
    <mergeCell ref="L218:L220"/>
    <mergeCell ref="Z219:Z220"/>
    <mergeCell ref="AA219:AA220"/>
    <mergeCell ref="B215:I216"/>
    <mergeCell ref="B213:C213"/>
    <mergeCell ref="D213:E213"/>
    <mergeCell ref="F213:I213"/>
    <mergeCell ref="B214:C214"/>
    <mergeCell ref="D214:E214"/>
    <mergeCell ref="F214:I214"/>
    <mergeCell ref="A235:A246"/>
    <mergeCell ref="B235:C236"/>
    <mergeCell ref="D235:E236"/>
    <mergeCell ref="F235:I236"/>
    <mergeCell ref="J235:J246"/>
    <mergeCell ref="K235:K246"/>
    <mergeCell ref="L235:L240"/>
    <mergeCell ref="M235:M238"/>
    <mergeCell ref="N235:N238"/>
    <mergeCell ref="O235:O238"/>
    <mergeCell ref="P235:P238"/>
    <mergeCell ref="Q235:Q238"/>
    <mergeCell ref="B243:I246"/>
    <mergeCell ref="M243:M246"/>
    <mergeCell ref="N243:N246"/>
    <mergeCell ref="O243:O246"/>
    <mergeCell ref="P243:P246"/>
    <mergeCell ref="Q243:Q246"/>
    <mergeCell ref="Z235:AA238"/>
    <mergeCell ref="B237:C238"/>
    <mergeCell ref="D237:E238"/>
    <mergeCell ref="F237:I238"/>
    <mergeCell ref="B239:I242"/>
    <mergeCell ref="M239:M242"/>
    <mergeCell ref="N239:N242"/>
    <mergeCell ref="O239:O242"/>
    <mergeCell ref="P239:P242"/>
    <mergeCell ref="Q239:Q242"/>
    <mergeCell ref="R239:R242"/>
    <mergeCell ref="S239:S242"/>
    <mergeCell ref="T239:T242"/>
    <mergeCell ref="U239:U242"/>
    <mergeCell ref="V239:V242"/>
    <mergeCell ref="W239:W242"/>
    <mergeCell ref="X239:X242"/>
    <mergeCell ref="Y239:Y242"/>
    <mergeCell ref="Z239:Z240"/>
    <mergeCell ref="AA239:AA240"/>
    <mergeCell ref="L241:L246"/>
    <mergeCell ref="Z241:Z242"/>
    <mergeCell ref="AA241:AA242"/>
    <mergeCell ref="R243:R246"/>
    <mergeCell ref="S243:S246"/>
    <mergeCell ref="T243:T246"/>
    <mergeCell ref="U243:U246"/>
    <mergeCell ref="V243:V246"/>
    <mergeCell ref="W243:W246"/>
    <mergeCell ref="X243:X246"/>
    <mergeCell ref="Y243:Y246"/>
    <mergeCell ref="Q252:Q255"/>
    <mergeCell ref="R235:R238"/>
    <mergeCell ref="S235:S238"/>
    <mergeCell ref="T235:T238"/>
    <mergeCell ref="U235:U238"/>
    <mergeCell ref="V235:V238"/>
    <mergeCell ref="W235:W238"/>
    <mergeCell ref="X235:X238"/>
    <mergeCell ref="Y235:Y238"/>
    <mergeCell ref="T256:T259"/>
    <mergeCell ref="U256:U259"/>
    <mergeCell ref="V256:V259"/>
    <mergeCell ref="W256:W259"/>
    <mergeCell ref="X256:X259"/>
    <mergeCell ref="W252:W255"/>
    <mergeCell ref="X252:X255"/>
    <mergeCell ref="Y252:Y255"/>
    <mergeCell ref="A248:A259"/>
    <mergeCell ref="B248:C249"/>
    <mergeCell ref="D248:E249"/>
    <mergeCell ref="F248:I249"/>
    <mergeCell ref="J248:J259"/>
    <mergeCell ref="K248:K259"/>
    <mergeCell ref="L248:L253"/>
    <mergeCell ref="M248:M251"/>
    <mergeCell ref="N248:N251"/>
    <mergeCell ref="O248:O251"/>
    <mergeCell ref="P248:P251"/>
    <mergeCell ref="Q248:Q251"/>
    <mergeCell ref="R248:R251"/>
    <mergeCell ref="S248:S251"/>
    <mergeCell ref="T248:T251"/>
    <mergeCell ref="U248:U251"/>
    <mergeCell ref="O256:O259"/>
    <mergeCell ref="P256:P259"/>
    <mergeCell ref="Q256:Q259"/>
    <mergeCell ref="R256:R259"/>
    <mergeCell ref="B250:C251"/>
    <mergeCell ref="D250:E251"/>
    <mergeCell ref="F250:I251"/>
    <mergeCell ref="B252:I255"/>
    <mergeCell ref="M252:M255"/>
    <mergeCell ref="L254:L259"/>
    <mergeCell ref="B256:I259"/>
    <mergeCell ref="M256:M259"/>
    <mergeCell ref="N256:N259"/>
    <mergeCell ref="N252:N255"/>
    <mergeCell ref="O252:O255"/>
    <mergeCell ref="P252:P255"/>
    <mergeCell ref="B204:C204"/>
    <mergeCell ref="D204:E204"/>
    <mergeCell ref="F204:I204"/>
    <mergeCell ref="B205:C205"/>
    <mergeCell ref="D205:E205"/>
    <mergeCell ref="F205:I205"/>
    <mergeCell ref="B206:I207"/>
    <mergeCell ref="Z296:AA307"/>
    <mergeCell ref="Z243:Z244"/>
    <mergeCell ref="AA243:AA244"/>
    <mergeCell ref="Z245:Z246"/>
    <mergeCell ref="AA245:AA246"/>
    <mergeCell ref="V248:V251"/>
    <mergeCell ref="W248:W251"/>
    <mergeCell ref="X248:X251"/>
    <mergeCell ref="Y256:Y259"/>
    <mergeCell ref="Z256:Z257"/>
    <mergeCell ref="AA256:AA257"/>
    <mergeCell ref="Z258:Z259"/>
    <mergeCell ref="AA258:AA259"/>
    <mergeCell ref="Z248:AA251"/>
    <mergeCell ref="R252:R255"/>
    <mergeCell ref="S252:S255"/>
    <mergeCell ref="T252:T255"/>
    <mergeCell ref="U252:U255"/>
    <mergeCell ref="V252:V255"/>
    <mergeCell ref="Z252:Z253"/>
    <mergeCell ref="AA252:AA253"/>
    <mergeCell ref="Z254:Z255"/>
    <mergeCell ref="AA254:AA255"/>
    <mergeCell ref="Y248:Y251"/>
    <mergeCell ref="S256:S259"/>
  </mergeCells>
  <pageMargins left="0.55118110236220474" right="0.43307086614173229" top="0.59055118110236227" bottom="0.27559055118110237" header="0.31496062992125984" footer="0.31496062992125984"/>
  <pageSetup paperSize="8" scale="70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2" workbookViewId="0">
      <selection activeCell="P86" sqref="P86:S86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44583.636363636375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44583.64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44583.64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44583.64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44583.64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44583.64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44583.64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44583.64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44583.64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44583.64</v>
      </c>
      <c r="U13" s="2116"/>
      <c r="V13" s="2116"/>
      <c r="W13" s="2116"/>
    </row>
    <row r="14" spans="1:27" ht="14.1" customHeight="1">
      <c r="A14" s="2112">
        <v>11</v>
      </c>
      <c r="B14" s="2113"/>
      <c r="C14" s="2113"/>
      <c r="D14" s="2126">
        <f t="shared" si="0"/>
        <v>2014</v>
      </c>
      <c r="E14" s="2127"/>
      <c r="F14" s="2127"/>
      <c r="G14" s="2128"/>
      <c r="H14" s="2107" t="s">
        <v>316</v>
      </c>
      <c r="I14" s="2107"/>
      <c r="J14" s="2107"/>
      <c r="K14" s="2107"/>
      <c r="L14" s="2107"/>
      <c r="M14" s="2107"/>
      <c r="N14" s="2107"/>
      <c r="O14" s="2107"/>
      <c r="P14" s="2114">
        <f>'HSZ do groszy'!K46</f>
        <v>0</v>
      </c>
      <c r="Q14" s="2115"/>
      <c r="R14" s="2115"/>
      <c r="S14" s="2115"/>
      <c r="T14" s="2116">
        <f>ROUND(IPMT(($AA$3%+0.35%)/11,1,$D$171-$D$4+1,$P$172-(SUM($P$4:P13)))*-1,2)</f>
        <v>44583.64</v>
      </c>
      <c r="U14" s="2116"/>
      <c r="V14" s="2116"/>
      <c r="W14" s="2116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44583.64</v>
      </c>
      <c r="U15" s="2116"/>
      <c r="V15" s="2116"/>
      <c r="W15" s="2116"/>
      <c r="Y15" s="474">
        <f>SUM(T4:W15)</f>
        <v>535003.67636363651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44583.64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44583.64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44583.64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44583.64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44583.64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44583.64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44583.64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44583.64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44583.64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44583.64</v>
      </c>
      <c r="U25" s="2116"/>
      <c r="V25" s="2116"/>
      <c r="W25" s="2116"/>
      <c r="Y25" s="471"/>
      <c r="Z25" s="471"/>
    </row>
    <row r="26" spans="1:26" ht="14.1" customHeight="1">
      <c r="A26" s="2112">
        <v>23</v>
      </c>
      <c r="B26" s="2113"/>
      <c r="C26" s="2113"/>
      <c r="D26" s="2107">
        <f t="shared" si="1"/>
        <v>2015</v>
      </c>
      <c r="E26" s="2107"/>
      <c r="F26" s="2107"/>
      <c r="G26" s="2107"/>
      <c r="H26" s="2107" t="s">
        <v>316</v>
      </c>
      <c r="I26" s="2107"/>
      <c r="J26" s="2107"/>
      <c r="K26" s="2107"/>
      <c r="L26" s="2107"/>
      <c r="M26" s="2107"/>
      <c r="N26" s="2107"/>
      <c r="O26" s="2107"/>
      <c r="P26" s="2114">
        <f>'HSZ do groszy'!M46</f>
        <v>0</v>
      </c>
      <c r="Q26" s="2115"/>
      <c r="R26" s="2115"/>
      <c r="S26" s="2115"/>
      <c r="T26" s="2116">
        <f>ROUND(IPMT(($AA$3%+0.35%)/11,1,$D$171-$D$16+1,$P$172-(SUM($P$4:P25)))*-1,2)</f>
        <v>44583.64</v>
      </c>
      <c r="U26" s="2116"/>
      <c r="V26" s="2116"/>
      <c r="W26" s="2116"/>
      <c r="Y26" s="471"/>
      <c r="Z26" s="471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44583.64</v>
      </c>
      <c r="U27" s="2116"/>
      <c r="V27" s="2116"/>
      <c r="W27" s="2116"/>
      <c r="Y27" s="474">
        <f>SUM(T16:W27)</f>
        <v>535003.68000000005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44583.64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44583.64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44583.64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44583.64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44583.64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44583.64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44583.64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44583.64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44583.64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44583.64</v>
      </c>
      <c r="U37" s="2116"/>
      <c r="V37" s="2116"/>
      <c r="W37" s="2116"/>
      <c r="Y37" s="471"/>
      <c r="Z37" s="471"/>
    </row>
    <row r="38" spans="1:26" ht="14.1" customHeight="1">
      <c r="A38" s="2112">
        <v>35</v>
      </c>
      <c r="B38" s="2113"/>
      <c r="C38" s="2113"/>
      <c r="D38" s="2107">
        <f t="shared" si="2"/>
        <v>2016</v>
      </c>
      <c r="E38" s="2107"/>
      <c r="F38" s="2107"/>
      <c r="G38" s="2107"/>
      <c r="H38" s="2107" t="s">
        <v>316</v>
      </c>
      <c r="I38" s="2107"/>
      <c r="J38" s="2107"/>
      <c r="K38" s="2107"/>
      <c r="L38" s="2107"/>
      <c r="M38" s="2107"/>
      <c r="N38" s="2107"/>
      <c r="O38" s="2107"/>
      <c r="P38" s="2114">
        <f>'HSZ do groszy'!O46</f>
        <v>0</v>
      </c>
      <c r="Q38" s="2115"/>
      <c r="R38" s="2115"/>
      <c r="S38" s="2115"/>
      <c r="T38" s="2116">
        <f>ROUND(IPMT(($AA$3%+0.35%)/11,1,$D$171-$D$28+1,$P$172-(SUM($P$4:P37)))*-1,2)</f>
        <v>44583.64</v>
      </c>
      <c r="U38" s="2116"/>
      <c r="V38" s="2116"/>
      <c r="W38" s="2116"/>
      <c r="Y38" s="471"/>
      <c r="Z38" s="471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44583.64</v>
      </c>
      <c r="U39" s="2116"/>
      <c r="V39" s="2116"/>
      <c r="W39" s="2116"/>
      <c r="Y39" s="474">
        <f>SUM(T28:W39)</f>
        <v>535003.68000000005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44583.64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44583.64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44583.64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44583.64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44583.64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44583.64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44583.64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44583.64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44583.64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44583.64</v>
      </c>
      <c r="U49" s="2116"/>
      <c r="V49" s="2116"/>
      <c r="W49" s="2116"/>
      <c r="Y49" s="471"/>
      <c r="Z49" s="471"/>
    </row>
    <row r="50" spans="1:26" ht="14.1" customHeight="1">
      <c r="A50" s="2112">
        <v>47</v>
      </c>
      <c r="B50" s="2113"/>
      <c r="C50" s="2113"/>
      <c r="D50" s="2107">
        <f t="shared" si="3"/>
        <v>2017</v>
      </c>
      <c r="E50" s="2107"/>
      <c r="F50" s="2107"/>
      <c r="G50" s="2107"/>
      <c r="H50" s="2107" t="s">
        <v>316</v>
      </c>
      <c r="I50" s="2107"/>
      <c r="J50" s="2107"/>
      <c r="K50" s="2107"/>
      <c r="L50" s="2107"/>
      <c r="M50" s="2107"/>
      <c r="N50" s="2107"/>
      <c r="O50" s="2107"/>
      <c r="P50" s="2114">
        <f>'HSZ do groszy'!Q46</f>
        <v>0</v>
      </c>
      <c r="Q50" s="2115"/>
      <c r="R50" s="2115"/>
      <c r="S50" s="2115"/>
      <c r="T50" s="2116">
        <f>ROUND(IPMT(($AA$3%+0.35%)/11,1,$D$171-$D$40+1,$P$172-(SUM($P$4:P49)))*-1,2)</f>
        <v>44583.64</v>
      </c>
      <c r="U50" s="2116"/>
      <c r="V50" s="2116"/>
      <c r="W50" s="2116"/>
      <c r="Y50" s="471"/>
      <c r="Z50" s="471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44583.64</v>
      </c>
      <c r="U51" s="2116"/>
      <c r="V51" s="2116"/>
      <c r="W51" s="2116"/>
      <c r="Y51" s="474">
        <f>SUM(T40:W51)</f>
        <v>535003.68000000005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44583.64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44583.64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44583.64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44583.64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44583.64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44583.64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44583.64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44583.64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44583.64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44583.64</v>
      </c>
      <c r="U61" s="2116"/>
      <c r="V61" s="2116"/>
      <c r="W61" s="2116"/>
      <c r="Y61" s="471"/>
      <c r="Z61" s="471"/>
    </row>
    <row r="62" spans="1:26" ht="14.1" customHeight="1">
      <c r="A62" s="2112">
        <v>59</v>
      </c>
      <c r="B62" s="2113"/>
      <c r="C62" s="2113"/>
      <c r="D62" s="2107">
        <f t="shared" si="4"/>
        <v>2018</v>
      </c>
      <c r="E62" s="2107"/>
      <c r="F62" s="2107"/>
      <c r="G62" s="2107"/>
      <c r="H62" s="2107" t="s">
        <v>316</v>
      </c>
      <c r="I62" s="2107"/>
      <c r="J62" s="2107"/>
      <c r="K62" s="2107"/>
      <c r="L62" s="2107"/>
      <c r="M62" s="2107"/>
      <c r="N62" s="2107"/>
      <c r="O62" s="2107"/>
      <c r="P62" s="2114">
        <f>'HSZ do groszy'!S46</f>
        <v>0</v>
      </c>
      <c r="Q62" s="2115"/>
      <c r="R62" s="2115"/>
      <c r="S62" s="2115"/>
      <c r="T62" s="2116">
        <f>ROUND(IPMT(($AA$3%+0.35%)/11,1,$D$171-$D$52+1,$P$172-(SUM($P$4:P61)))*-1,2)</f>
        <v>44583.64</v>
      </c>
      <c r="U62" s="2116"/>
      <c r="V62" s="2116"/>
      <c r="W62" s="2116"/>
      <c r="Y62" s="471"/>
      <c r="Z62" s="471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44583.64</v>
      </c>
      <c r="U63" s="2116"/>
      <c r="V63" s="2116"/>
      <c r="W63" s="2116"/>
      <c r="Y63" s="474">
        <f>SUM(T52:W63)</f>
        <v>535003.68000000005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44583.64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44583.64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44583.64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44583.64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44583.64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44583.64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44583.64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44583.64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44583.64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44583.64</v>
      </c>
      <c r="U73" s="2116"/>
      <c r="V73" s="2116"/>
      <c r="W73" s="2116"/>
      <c r="Y73" s="471"/>
      <c r="Z73" s="471"/>
    </row>
    <row r="74" spans="1:26" ht="14.1" customHeight="1">
      <c r="A74" s="2112">
        <v>23</v>
      </c>
      <c r="B74" s="2113"/>
      <c r="C74" s="2113"/>
      <c r="D74" s="2107">
        <f t="shared" si="5"/>
        <v>2019</v>
      </c>
      <c r="E74" s="2107"/>
      <c r="F74" s="2107"/>
      <c r="G74" s="2107"/>
      <c r="H74" s="2107" t="s">
        <v>316</v>
      </c>
      <c r="I74" s="2107"/>
      <c r="J74" s="2107"/>
      <c r="K74" s="2107"/>
      <c r="L74" s="2107"/>
      <c r="M74" s="2107"/>
      <c r="N74" s="2107"/>
      <c r="O74" s="2107"/>
      <c r="P74" s="2114">
        <f>'HSZ do groszy'!U46</f>
        <v>0</v>
      </c>
      <c r="Q74" s="2115"/>
      <c r="R74" s="2115"/>
      <c r="S74" s="2115"/>
      <c r="T74" s="2116">
        <f>ROUND(IPMT(($AA$3%+0.35%)/11,1,$D$171-$D$64+1,$P$172-(SUM($P$4:P73)))*-1,2)</f>
        <v>44583.64</v>
      </c>
      <c r="U74" s="2116"/>
      <c r="V74" s="2116"/>
      <c r="W74" s="2116"/>
      <c r="Y74" s="471"/>
      <c r="Z74" s="471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44583.64</v>
      </c>
      <c r="U75" s="2116"/>
      <c r="V75" s="2116"/>
      <c r="W75" s="2116"/>
      <c r="Y75" s="474">
        <f>SUM(T64:W75)</f>
        <v>535003.68000000005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44583.64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44583.64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44583.64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44583.64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44583.64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44583.64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44583.64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44583.64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44583.64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44583.64</v>
      </c>
      <c r="U85" s="2116"/>
      <c r="V85" s="2116"/>
      <c r="W85" s="2116"/>
      <c r="Y85" s="471"/>
      <c r="Z85" s="471"/>
    </row>
    <row r="86" spans="1:26" ht="14.1" customHeight="1">
      <c r="A86" s="2112">
        <v>23</v>
      </c>
      <c r="B86" s="2113"/>
      <c r="C86" s="2113"/>
      <c r="D86" s="2107">
        <f t="shared" si="6"/>
        <v>2020</v>
      </c>
      <c r="E86" s="2107"/>
      <c r="F86" s="2107"/>
      <c r="G86" s="2107"/>
      <c r="H86" s="2107" t="s">
        <v>316</v>
      </c>
      <c r="I86" s="2107"/>
      <c r="J86" s="2107"/>
      <c r="K86" s="2107"/>
      <c r="L86" s="2107"/>
      <c r="M86" s="2107"/>
      <c r="N86" s="2107"/>
      <c r="O86" s="2107"/>
      <c r="P86" s="2114">
        <f>'HSZ do groszy'!W46</f>
        <v>1300000</v>
      </c>
      <c r="Q86" s="2115"/>
      <c r="R86" s="2115"/>
      <c r="S86" s="2115"/>
      <c r="T86" s="2116">
        <f>ROUND(IPMT(($AA$3%+0.35%)/11,1,$D$171-$D$76+1,$P$172-(SUM($P$4:P85)))*-1,2)</f>
        <v>44583.64</v>
      </c>
      <c r="U86" s="2116"/>
      <c r="V86" s="2116"/>
      <c r="W86" s="2116"/>
      <c r="Y86" s="471"/>
      <c r="Z86" s="471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39454.550000000003</v>
      </c>
      <c r="U87" s="2116"/>
      <c r="V87" s="2116"/>
      <c r="W87" s="2116"/>
      <c r="Y87" s="474">
        <f>SUM(T76:W87)</f>
        <v>529874.59000000008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39454.550000000003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39454.550000000003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39454.550000000003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39454.550000000003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39454.550000000003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39454.550000000003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39454.550000000003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39454.550000000003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39454.550000000003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39454.550000000003</v>
      </c>
      <c r="U97" s="2116"/>
      <c r="V97" s="2116"/>
      <c r="W97" s="2116"/>
      <c r="Y97" s="471"/>
      <c r="Z97" s="471"/>
    </row>
    <row r="98" spans="1:26" ht="14.1" customHeight="1">
      <c r="A98" s="2112">
        <v>23</v>
      </c>
      <c r="B98" s="2113"/>
      <c r="C98" s="2113"/>
      <c r="D98" s="2107">
        <f t="shared" si="7"/>
        <v>2021</v>
      </c>
      <c r="E98" s="2107"/>
      <c r="F98" s="2107"/>
      <c r="G98" s="2107"/>
      <c r="H98" s="2107" t="s">
        <v>316</v>
      </c>
      <c r="I98" s="2107"/>
      <c r="J98" s="2107"/>
      <c r="K98" s="2107"/>
      <c r="L98" s="2107"/>
      <c r="M98" s="2107"/>
      <c r="N98" s="2107"/>
      <c r="O98" s="2107"/>
      <c r="P98" s="2114">
        <f>'HSZ do groszy'!Y46</f>
        <v>4000000</v>
      </c>
      <c r="Q98" s="2115"/>
      <c r="R98" s="2115"/>
      <c r="S98" s="2115"/>
      <c r="T98" s="2116">
        <f>ROUND(IPMT(($AA$3%+0.35%)/11,1,$D$171-$D$88+1,$P$172-(SUM($P$4:P97)))*-1,2)</f>
        <v>39454.550000000003</v>
      </c>
      <c r="U98" s="2116"/>
      <c r="V98" s="2116"/>
      <c r="W98" s="2116"/>
      <c r="Y98" s="471"/>
      <c r="Z98" s="471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23672.73</v>
      </c>
      <c r="U99" s="2116"/>
      <c r="V99" s="2116"/>
      <c r="W99" s="2116"/>
      <c r="Y99" s="474">
        <f>SUM(T88:W99)</f>
        <v>457672.77999999991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23672.73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23672.73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23672.73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23672.73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23672.73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23672.73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23672.73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23672.73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23672.73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23672.73</v>
      </c>
      <c r="U109" s="2116"/>
      <c r="V109" s="2116"/>
      <c r="W109" s="2116"/>
      <c r="Y109" s="473"/>
      <c r="Z109" s="471"/>
    </row>
    <row r="110" spans="1:26" ht="14.1" customHeight="1">
      <c r="A110" s="2112">
        <v>71</v>
      </c>
      <c r="B110" s="2113"/>
      <c r="C110" s="2113"/>
      <c r="D110" s="2107">
        <f t="shared" si="8"/>
        <v>2022</v>
      </c>
      <c r="E110" s="2107"/>
      <c r="F110" s="2107"/>
      <c r="G110" s="2107"/>
      <c r="H110" s="2107" t="s">
        <v>316</v>
      </c>
      <c r="I110" s="2107"/>
      <c r="J110" s="2107"/>
      <c r="K110" s="2107"/>
      <c r="L110" s="2107"/>
      <c r="M110" s="2107"/>
      <c r="N110" s="2107"/>
      <c r="O110" s="2107"/>
      <c r="P110" s="2114">
        <f>'HSZ do groszy'!AA46</f>
        <v>6000000</v>
      </c>
      <c r="Q110" s="2115"/>
      <c r="R110" s="2115"/>
      <c r="S110" s="2115"/>
      <c r="T110" s="2116">
        <f>ROUND(IPMT(($AA$3%+0.35%)/11,1,$D$171-$D$160+1,$P$172-(SUM($P$4:P109)))*-1,2)</f>
        <v>23672.73</v>
      </c>
      <c r="U110" s="2116"/>
      <c r="V110" s="2116"/>
      <c r="W110" s="2116"/>
      <c r="Y110" s="473"/>
      <c r="Z110" s="471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260400.03000000006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ht="14.1" customHeight="1">
      <c r="A122" s="2112">
        <v>71</v>
      </c>
      <c r="B122" s="2113"/>
      <c r="C122" s="2113"/>
      <c r="D122" s="2107">
        <f t="shared" si="9"/>
        <v>2023</v>
      </c>
      <c r="E122" s="2107"/>
      <c r="F122" s="2107"/>
      <c r="G122" s="2107"/>
      <c r="H122" s="2107" t="s">
        <v>316</v>
      </c>
      <c r="I122" s="2107"/>
      <c r="J122" s="2107"/>
      <c r="K122" s="2107"/>
      <c r="L122" s="2107"/>
      <c r="M122" s="2107"/>
      <c r="N122" s="2107"/>
      <c r="O122" s="2107"/>
      <c r="P122" s="2114">
        <f>'HSZ do groszy'!AC46</f>
        <v>0</v>
      </c>
      <c r="Q122" s="2115"/>
      <c r="R122" s="2115"/>
      <c r="S122" s="2115"/>
      <c r="T122" s="2116">
        <f>ROUND(IPMT(($AA$3%+0.35%)/11,1,$D$171-$D$160+1,$P$172-(SUM($P$4:P121)))*-1,2)</f>
        <v>0</v>
      </c>
      <c r="U122" s="2116"/>
      <c r="V122" s="2116"/>
      <c r="W122" s="2116"/>
      <c r="Y122" s="473"/>
      <c r="Z122" s="471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ht="14.1" customHeight="1">
      <c r="A134" s="2112">
        <v>71</v>
      </c>
      <c r="B134" s="2113"/>
      <c r="C134" s="2113"/>
      <c r="D134" s="2107">
        <f t="shared" si="10"/>
        <v>2024</v>
      </c>
      <c r="E134" s="2107"/>
      <c r="F134" s="2107"/>
      <c r="G134" s="2107"/>
      <c r="H134" s="2107" t="s">
        <v>316</v>
      </c>
      <c r="I134" s="2107"/>
      <c r="J134" s="2107"/>
      <c r="K134" s="2107"/>
      <c r="L134" s="2107"/>
      <c r="M134" s="2107"/>
      <c r="N134" s="2107"/>
      <c r="O134" s="2107"/>
      <c r="P134" s="2114">
        <f>'HSZ do groszy'!AE46</f>
        <v>0</v>
      </c>
      <c r="Q134" s="2115"/>
      <c r="R134" s="2115"/>
      <c r="S134" s="2115"/>
      <c r="T134" s="2116">
        <f>ROUND(IPMT(($AA$3%+0.35%)/11,1,$D$171-$D$160+1,$P$172-(SUM($P$4:P133)))*-1,2)</f>
        <v>0</v>
      </c>
      <c r="U134" s="2116"/>
      <c r="V134" s="2116"/>
      <c r="W134" s="2116"/>
      <c r="Y134" s="473"/>
      <c r="Z134" s="471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ht="14.1" customHeight="1">
      <c r="A146" s="2112">
        <v>71</v>
      </c>
      <c r="B146" s="2113"/>
      <c r="C146" s="2113"/>
      <c r="D146" s="2107">
        <f t="shared" si="11"/>
        <v>2025</v>
      </c>
      <c r="E146" s="2107"/>
      <c r="F146" s="2107"/>
      <c r="G146" s="2107"/>
      <c r="H146" s="2107" t="s">
        <v>316</v>
      </c>
      <c r="I146" s="2107"/>
      <c r="J146" s="2107"/>
      <c r="K146" s="2107"/>
      <c r="L146" s="2107"/>
      <c r="M146" s="2107"/>
      <c r="N146" s="2107"/>
      <c r="O146" s="2107"/>
      <c r="P146" s="2114">
        <f>'HSZ do groszy'!AG46</f>
        <v>0</v>
      </c>
      <c r="Q146" s="2115"/>
      <c r="R146" s="2115"/>
      <c r="S146" s="2115"/>
      <c r="T146" s="2116">
        <f>ROUND(IPMT(($AA$3%+0.35%)/11,1,$D$171-$D$160+1,$P$172-(SUM($P$4:P145)))*-1,2)</f>
        <v>0</v>
      </c>
      <c r="U146" s="2116"/>
      <c r="V146" s="2116"/>
      <c r="W146" s="2116"/>
      <c r="Y146" s="473"/>
      <c r="Z146" s="471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ht="14.1" customHeight="1">
      <c r="A158" s="2112">
        <v>71</v>
      </c>
      <c r="B158" s="2113"/>
      <c r="C158" s="2113"/>
      <c r="D158" s="2107">
        <f t="shared" si="12"/>
        <v>2026</v>
      </c>
      <c r="E158" s="2107"/>
      <c r="F158" s="2107"/>
      <c r="G158" s="2107"/>
      <c r="H158" s="2107" t="s">
        <v>316</v>
      </c>
      <c r="I158" s="2107"/>
      <c r="J158" s="2107"/>
      <c r="K158" s="2107"/>
      <c r="L158" s="2107"/>
      <c r="M158" s="2107"/>
      <c r="N158" s="2107"/>
      <c r="O158" s="2107"/>
      <c r="P158" s="2114">
        <v>0</v>
      </c>
      <c r="Q158" s="2115"/>
      <c r="R158" s="2115"/>
      <c r="S158" s="2115"/>
      <c r="T158" s="2116">
        <f>ROUND(IPMT(($AA$3%+0.35%)/11,1,$D$171-$D$160+1,$P$172-(SUM($P$4:P157)))*-1,2)</f>
        <v>0</v>
      </c>
      <c r="U158" s="2116"/>
      <c r="V158" s="2116"/>
      <c r="W158" s="2116"/>
      <c r="Y158" s="473"/>
      <c r="Z158" s="471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ht="14.1" customHeight="1">
      <c r="A170" s="2112">
        <v>71</v>
      </c>
      <c r="B170" s="2113"/>
      <c r="C170" s="2113"/>
      <c r="D170" s="2107">
        <f t="shared" si="13"/>
        <v>2027</v>
      </c>
      <c r="E170" s="2107"/>
      <c r="F170" s="2107"/>
      <c r="G170" s="2107"/>
      <c r="H170" s="2107" t="s">
        <v>316</v>
      </c>
      <c r="I170" s="2107"/>
      <c r="J170" s="2107"/>
      <c r="K170" s="2107"/>
      <c r="L170" s="2107"/>
      <c r="M170" s="2107"/>
      <c r="N170" s="2107"/>
      <c r="O170" s="2107"/>
      <c r="P170" s="2114">
        <v>0</v>
      </c>
      <c r="Q170" s="2115"/>
      <c r="R170" s="2115"/>
      <c r="S170" s="2115"/>
      <c r="T170" s="2116">
        <f>ROUND(IPMT(($AA$3%+0.35%)/11,1,$D$171-$D$160+1,$P$172-(SUM($P$4:P169)))*-1,2)</f>
        <v>0</v>
      </c>
      <c r="U170" s="2116"/>
      <c r="V170" s="2116"/>
      <c r="W170" s="2116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11300000</v>
      </c>
      <c r="Q172" s="2121"/>
      <c r="R172" s="2121"/>
      <c r="S172" s="2122"/>
      <c r="T172" s="2123">
        <f>SUM(T4:T171)</f>
        <v>4457969.4763636421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82" workbookViewId="0">
      <selection activeCell="P97" sqref="P97:S97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ht="14.1" customHeight="1">
      <c r="A14" s="2112">
        <v>11</v>
      </c>
      <c r="B14" s="2113"/>
      <c r="C14" s="2113"/>
      <c r="D14" s="2126">
        <f t="shared" si="0"/>
        <v>2014</v>
      </c>
      <c r="E14" s="2127"/>
      <c r="F14" s="2127"/>
      <c r="G14" s="2128"/>
      <c r="H14" s="2107" t="s">
        <v>316</v>
      </c>
      <c r="I14" s="2107"/>
      <c r="J14" s="2107"/>
      <c r="K14" s="2107"/>
      <c r="L14" s="2107"/>
      <c r="M14" s="2107"/>
      <c r="N14" s="2107"/>
      <c r="O14" s="2107"/>
      <c r="P14" s="2114">
        <f>'HSZ do groszy'!K47</f>
        <v>0</v>
      </c>
      <c r="Q14" s="2115"/>
      <c r="R14" s="2115"/>
      <c r="S14" s="2115"/>
      <c r="T14" s="2116">
        <f>ROUND(IPMT(($AA$3%+0.35%)/11,1,$D$171-$D$4+1,$P$172-(SUM($P$4:P13)))*-1,2)</f>
        <v>0</v>
      </c>
      <c r="U14" s="2116"/>
      <c r="V14" s="2116"/>
      <c r="W14" s="2116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ht="14.1" customHeight="1">
      <c r="A26" s="2112">
        <v>23</v>
      </c>
      <c r="B26" s="2113"/>
      <c r="C26" s="2113"/>
      <c r="D26" s="2107">
        <f t="shared" si="1"/>
        <v>2015</v>
      </c>
      <c r="E26" s="2107"/>
      <c r="F26" s="2107"/>
      <c r="G26" s="2107"/>
      <c r="H26" s="2107" t="s">
        <v>316</v>
      </c>
      <c r="I26" s="2107"/>
      <c r="J26" s="2107"/>
      <c r="K26" s="2107"/>
      <c r="L26" s="2107"/>
      <c r="M26" s="2107"/>
      <c r="N26" s="2107"/>
      <c r="O26" s="2107"/>
      <c r="P26" s="2114">
        <f>'HSZ do groszy'!M47</f>
        <v>0</v>
      </c>
      <c r="Q26" s="2115"/>
      <c r="R26" s="2115"/>
      <c r="S26" s="2115"/>
      <c r="T26" s="2116">
        <f>ROUND(IPMT(($AA$3%+0.35%)/11,1,$D$171-$D$16+1,$P$172-(SUM($P$4:P25)))*-1,2)</f>
        <v>0</v>
      </c>
      <c r="U26" s="2116"/>
      <c r="V26" s="2116"/>
      <c r="W26" s="2116"/>
      <c r="Y26" s="471"/>
      <c r="Z26" s="471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ht="14.1" customHeight="1">
      <c r="A38" s="2112">
        <v>35</v>
      </c>
      <c r="B38" s="2113"/>
      <c r="C38" s="2113"/>
      <c r="D38" s="2107">
        <f t="shared" si="2"/>
        <v>2016</v>
      </c>
      <c r="E38" s="2107"/>
      <c r="F38" s="2107"/>
      <c r="G38" s="2107"/>
      <c r="H38" s="2107" t="s">
        <v>316</v>
      </c>
      <c r="I38" s="2107"/>
      <c r="J38" s="2107"/>
      <c r="K38" s="2107"/>
      <c r="L38" s="2107"/>
      <c r="M38" s="2107"/>
      <c r="N38" s="2107"/>
      <c r="O38" s="2107"/>
      <c r="P38" s="2114">
        <f>'HSZ do groszy'!O47</f>
        <v>0</v>
      </c>
      <c r="Q38" s="2115"/>
      <c r="R38" s="2115"/>
      <c r="S38" s="2115"/>
      <c r="T38" s="2116">
        <f>ROUND(IPMT(($AA$3%+0.35%)/11,1,$D$171-$D$28+1,$P$172-(SUM($P$4:P37)))*-1,2)</f>
        <v>0</v>
      </c>
      <c r="U38" s="2116"/>
      <c r="V38" s="2116"/>
      <c r="W38" s="2116"/>
      <c r="Y38" s="471"/>
      <c r="Z38" s="471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ht="14.1" customHeight="1">
      <c r="A50" s="2112">
        <v>47</v>
      </c>
      <c r="B50" s="2113"/>
      <c r="C50" s="2113"/>
      <c r="D50" s="2107">
        <f t="shared" si="3"/>
        <v>2017</v>
      </c>
      <c r="E50" s="2107"/>
      <c r="F50" s="2107"/>
      <c r="G50" s="2107"/>
      <c r="H50" s="2107" t="s">
        <v>316</v>
      </c>
      <c r="I50" s="2107"/>
      <c r="J50" s="2107"/>
      <c r="K50" s="2107"/>
      <c r="L50" s="2107"/>
      <c r="M50" s="2107"/>
      <c r="N50" s="2107"/>
      <c r="O50" s="2107"/>
      <c r="P50" s="2114">
        <f>'HSZ do groszy'!Q47</f>
        <v>0</v>
      </c>
      <c r="Q50" s="2115"/>
      <c r="R50" s="2115"/>
      <c r="S50" s="2115"/>
      <c r="T50" s="2116">
        <f>ROUND(IPMT(($AA$3%+0.35%)/11,1,$D$171-$D$40+1,$P$172-(SUM($P$4:P49)))*-1,2)</f>
        <v>0</v>
      </c>
      <c r="U50" s="2116"/>
      <c r="V50" s="2116"/>
      <c r="W50" s="2116"/>
      <c r="Y50" s="471"/>
      <c r="Z50" s="471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groszy'!S47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groszy'!U47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groszy'!W47</f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groszy'!AA47</f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groszy'!AC47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groszy'!AE47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groszy'!AG47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88" workbookViewId="0">
      <selection activeCell="P88" sqref="P88:S88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groszy'!K48</f>
        <v>0</v>
      </c>
      <c r="Q14" s="2147"/>
      <c r="R14" s="2147"/>
      <c r="S14" s="2147"/>
      <c r="T14" s="2148">
        <f>ROUND(IPMT(($AA$3%+0.35%)/11,1,$D$171-$D$4+1,$P$172-(SUM($P$4:P13)))*-1,2)</f>
        <v>0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groszy'!M48</f>
        <v>0</v>
      </c>
      <c r="Q26" s="2147"/>
      <c r="R26" s="2147"/>
      <c r="S26" s="2147"/>
      <c r="T26" s="2148">
        <f>ROUND(IPMT(($AA$3%+0.35%)/11,1,$D$171-$D$16+1,$P$172-(SUM($P$4:P25)))*-1,2)</f>
        <v>0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groszy'!O48</f>
        <v>0</v>
      </c>
      <c r="Q38" s="2147"/>
      <c r="R38" s="2147"/>
      <c r="S38" s="2147"/>
      <c r="T38" s="2148">
        <f>ROUND(IPMT(($AA$3%+0.35%)/11,1,$D$171-$D$28+1,$P$172-(SUM($P$4:P37)))*-1,2)</f>
        <v>0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groszy'!Q48</f>
        <v>0</v>
      </c>
      <c r="Q50" s="2147"/>
      <c r="R50" s="2147"/>
      <c r="S50" s="2147"/>
      <c r="T50" s="2148">
        <f>ROUND(IPMT(($AA$3%+0.35%)/11,1,$D$171-$D$40+1,$P$172-(SUM($P$4:P49)))*-1,2)</f>
        <v>0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groszy'!S48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groszy'!U48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groszy'!AA48</f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groszy'!AC48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groszy'!AE48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groszy'!AG48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58" workbookViewId="0">
      <selection activeCell="P88" sqref="P88:S88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groszy'!K49</f>
        <v>0</v>
      </c>
      <c r="Q14" s="2147"/>
      <c r="R14" s="2147"/>
      <c r="S14" s="2147"/>
      <c r="T14" s="2148">
        <f>ROUND(IPMT(($AA$3%+0.35%)/11,1,$D$171-$D$4+1,$P$172-(SUM($P$4:P13)))*-1,2)</f>
        <v>0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groszy'!M49</f>
        <v>0</v>
      </c>
      <c r="Q26" s="2147"/>
      <c r="R26" s="2147"/>
      <c r="S26" s="2147"/>
      <c r="T26" s="2148">
        <f>ROUND(IPMT(($AA$3%+0.35%)/11,1,$D$171-$D$16+1,$P$172-(SUM($P$4:P25)))*-1,2)</f>
        <v>0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groszy'!O49</f>
        <v>0</v>
      </c>
      <c r="Q38" s="2147"/>
      <c r="R38" s="2147"/>
      <c r="S38" s="2147"/>
      <c r="T38" s="2148">
        <f>ROUND(IPMT(($AA$3%+0.35%)/11,1,$D$171-$D$28+1,$P$172-(SUM($P$4:P37)))*-1,2)</f>
        <v>0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groszy'!Q49</f>
        <v>0</v>
      </c>
      <c r="Q50" s="2147"/>
      <c r="R50" s="2147"/>
      <c r="S50" s="2147"/>
      <c r="T50" s="2148">
        <f>ROUND(IPMT(($AA$3%+0.35%)/11,1,$D$171-$D$40+1,$P$172-(SUM($P$4:P49)))*-1,2)</f>
        <v>0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groszy'!S49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groszy'!U49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groszy'!AC49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groszy'!AE49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groszy'!AG49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85" workbookViewId="0">
      <selection activeCell="P99" sqref="P99:S99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960.3315272727275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960.33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960.33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960.33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960.33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960.33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960.33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960.33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960.33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960.33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groszy'!K50</f>
        <v>0</v>
      </c>
      <c r="Q14" s="2147"/>
      <c r="R14" s="2147"/>
      <c r="S14" s="2147"/>
      <c r="T14" s="2148">
        <f>ROUND(IPMT(($AA$3%+0.35%)/11,1,$D$171-$D$4+1,$P$172-(SUM($P$4:P13)))*-1,2)</f>
        <v>960.33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960.33</v>
      </c>
      <c r="U15" s="2116"/>
      <c r="V15" s="2116"/>
      <c r="W15" s="2116"/>
      <c r="Y15" s="474">
        <f>SUM(T4:W15)</f>
        <v>11523.961527272728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960.33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960.33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960.33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960.33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960.33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960.33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960.33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960.33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960.33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960.33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groszy'!M50</f>
        <v>0</v>
      </c>
      <c r="Q26" s="2147"/>
      <c r="R26" s="2147"/>
      <c r="S26" s="2147"/>
      <c r="T26" s="2148">
        <f>ROUND(IPMT(($AA$3%+0.35%)/11,1,$D$171-$D$16+1,$P$172-(SUM($P$4:P25)))*-1,2)</f>
        <v>960.33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960.33</v>
      </c>
      <c r="U27" s="2116"/>
      <c r="V27" s="2116"/>
      <c r="W27" s="2116"/>
      <c r="Y27" s="474">
        <f>SUM(T16:W27)</f>
        <v>11523.960000000001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960.33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960.33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960.33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960.33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960.33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960.33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960.33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960.33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960.33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960.33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groszy'!O50</f>
        <v>0</v>
      </c>
      <c r="Q38" s="2147"/>
      <c r="R38" s="2147"/>
      <c r="S38" s="2147"/>
      <c r="T38" s="2148">
        <f>ROUND(IPMT(($AA$3%+0.35%)/11,1,$D$171-$D$28+1,$P$172-(SUM($P$4:P37)))*-1,2)</f>
        <v>960.33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960.33</v>
      </c>
      <c r="U39" s="2116"/>
      <c r="V39" s="2116"/>
      <c r="W39" s="2116"/>
      <c r="Y39" s="474">
        <f>SUM(T28:W39)</f>
        <v>11523.960000000001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960.33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960.33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960.33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960.33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960.33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960.33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960.33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960.33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960.33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960.33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groszy'!Q50</f>
        <v>0</v>
      </c>
      <c r="Q50" s="2147"/>
      <c r="R50" s="2147"/>
      <c r="S50" s="2147"/>
      <c r="T50" s="2148">
        <f>ROUND(IPMT(($AA$3%+0.35%)/11,1,$D$171-$D$40+1,$P$172-(SUM($P$4:P49)))*-1,2)</f>
        <v>960.33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960.33</v>
      </c>
      <c r="U51" s="2116"/>
      <c r="V51" s="2116"/>
      <c r="W51" s="2116"/>
      <c r="Y51" s="474">
        <f>SUM(T40:W51)</f>
        <v>11523.960000000001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960.33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960.33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960.33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960.33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960.33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960.33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960.33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960.33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960.33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960.33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groszy'!S50</f>
        <v>0</v>
      </c>
      <c r="Q62" s="2147"/>
      <c r="R62" s="2147"/>
      <c r="S62" s="2147"/>
      <c r="T62" s="2148">
        <f>ROUND(IPMT(($AA$3%+0.35%)/11,1,$D$171-$D$52+1,$P$172-(SUM($P$4:P61)))*-1,2)</f>
        <v>960.33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960.33</v>
      </c>
      <c r="U63" s="2116"/>
      <c r="V63" s="2116"/>
      <c r="W63" s="2116"/>
      <c r="Y63" s="474">
        <f>SUM(T52:W63)</f>
        <v>11523.960000000001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960.33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960.33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960.33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960.33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960.33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960.33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960.33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960.33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960.33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960.33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groszy'!U50</f>
        <v>0</v>
      </c>
      <c r="Q74" s="2147"/>
      <c r="R74" s="2147"/>
      <c r="S74" s="2147"/>
      <c r="T74" s="2148">
        <f>ROUND(IPMT(($AA$3%+0.35%)/11,1,$D$171-$D$64+1,$P$172-(SUM($P$4:P73)))*-1,2)</f>
        <v>960.33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960.33</v>
      </c>
      <c r="U75" s="2116"/>
      <c r="V75" s="2116"/>
      <c r="W75" s="2116"/>
      <c r="Y75" s="474">
        <f>SUM(T64:W75)</f>
        <v>11523.960000000001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960.33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960.33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960.33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960.33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960.33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960.33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960.33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960.33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960.33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960.33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v>0</v>
      </c>
      <c r="Q86" s="2147"/>
      <c r="R86" s="2147"/>
      <c r="S86" s="2147"/>
      <c r="T86" s="2148">
        <f>ROUND(IPMT(($AA$3%+0.35%)/11,1,$D$171-$D$76+1,$P$172-(SUM($P$4:P85)))*-1,2)</f>
        <v>960.33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960.33</v>
      </c>
      <c r="U87" s="2116"/>
      <c r="V87" s="2116"/>
      <c r="W87" s="2116"/>
      <c r="Y87" s="474">
        <f>SUM(T76:W87)</f>
        <v>11523.960000000001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960.33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960.33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960.33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960.33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960.33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960.33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960.33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960.33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960.33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960.33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groszy'!Y50</f>
        <v>243402</v>
      </c>
      <c r="Q98" s="2147"/>
      <c r="R98" s="2147"/>
      <c r="S98" s="2147"/>
      <c r="T98" s="2148">
        <f>ROUND(IPMT(($AA$3%+0.35%)/11,1,$D$171-$D$88+1,$P$172-(SUM($P$4:P97)))*-1,2)</f>
        <v>960.33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10563.630000000001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groszy'!AC50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groszy'!AE50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groszy'!AG50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243402</v>
      </c>
      <c r="Q172" s="2121"/>
      <c r="R172" s="2121"/>
      <c r="S172" s="2122"/>
      <c r="T172" s="2123">
        <f>SUM(T4:T171)</f>
        <v>91231.351527272855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91" workbookViewId="0">
      <selection activeCell="P111" sqref="P111:S111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364.58761818181824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364.59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364.59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364.59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364.59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364.59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364.59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364.59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364.59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364.59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groszy'!K51</f>
        <v>0</v>
      </c>
      <c r="Q14" s="2147"/>
      <c r="R14" s="2147"/>
      <c r="S14" s="2147"/>
      <c r="T14" s="2148">
        <f>ROUND(IPMT(($AA$3%+0.35%)/11,1,$D$171-$D$4+1,$P$172-(SUM($P$4:P13)))*-1,2)</f>
        <v>364.59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364.59</v>
      </c>
      <c r="U15" s="2116"/>
      <c r="V15" s="2116"/>
      <c r="W15" s="2116"/>
      <c r="Y15" s="474">
        <f>SUM(T4:W15)</f>
        <v>4375.0776181818183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364.59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364.59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364.59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364.59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364.59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364.59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364.59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364.59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364.59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364.59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groszy'!M51</f>
        <v>0</v>
      </c>
      <c r="Q26" s="2147"/>
      <c r="R26" s="2147"/>
      <c r="S26" s="2147"/>
      <c r="T26" s="2148">
        <f>ROUND(IPMT(($AA$3%+0.35%)/11,1,$D$171-$D$16+1,$P$172-(SUM($P$4:P25)))*-1,2)</f>
        <v>364.59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364.59</v>
      </c>
      <c r="U27" s="2116"/>
      <c r="V27" s="2116"/>
      <c r="W27" s="2116"/>
      <c r="Y27" s="474">
        <f>SUM(T16:W27)</f>
        <v>4375.0800000000008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364.59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364.59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364.59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364.59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364.59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364.59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364.59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364.59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364.59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364.59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groszy'!O51</f>
        <v>0</v>
      </c>
      <c r="Q38" s="2147"/>
      <c r="R38" s="2147"/>
      <c r="S38" s="2147"/>
      <c r="T38" s="2148">
        <f>ROUND(IPMT(($AA$3%+0.35%)/11,1,$D$171-$D$28+1,$P$172-(SUM($P$4:P37)))*-1,2)</f>
        <v>364.59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364.59</v>
      </c>
      <c r="U39" s="2116"/>
      <c r="V39" s="2116"/>
      <c r="W39" s="2116"/>
      <c r="Y39" s="474">
        <f>SUM(T28:W39)</f>
        <v>4375.0800000000008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364.59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364.59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364.59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364.59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364.59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364.59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364.59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364.59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364.59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364.59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groszy'!Q51</f>
        <v>0</v>
      </c>
      <c r="Q50" s="2147"/>
      <c r="R50" s="2147"/>
      <c r="S50" s="2147"/>
      <c r="T50" s="2148">
        <f>ROUND(IPMT(($AA$3%+0.35%)/11,1,$D$171-$D$40+1,$P$172-(SUM($P$4:P49)))*-1,2)</f>
        <v>364.59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364.59</v>
      </c>
      <c r="U51" s="2116"/>
      <c r="V51" s="2116"/>
      <c r="W51" s="2116"/>
      <c r="Y51" s="474">
        <f>SUM(T40:W51)</f>
        <v>4375.0800000000008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364.59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364.59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364.59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364.59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364.59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364.59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364.59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364.59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364.59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364.59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groszy'!S51</f>
        <v>0</v>
      </c>
      <c r="Q62" s="2147"/>
      <c r="R62" s="2147"/>
      <c r="S62" s="2147"/>
      <c r="T62" s="2148">
        <f>ROUND(IPMT(($AA$3%+0.35%)/11,1,$D$171-$D$52+1,$P$172-(SUM($P$4:P61)))*-1,2)</f>
        <v>364.59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364.59</v>
      </c>
      <c r="U63" s="2116"/>
      <c r="V63" s="2116"/>
      <c r="W63" s="2116"/>
      <c r="Y63" s="474">
        <f>SUM(T52:W63)</f>
        <v>4375.0800000000008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364.59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364.59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364.59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364.59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364.59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364.59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364.59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364.59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364.59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364.59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groszy'!U51</f>
        <v>0</v>
      </c>
      <c r="Q74" s="2147"/>
      <c r="R74" s="2147"/>
      <c r="S74" s="2147"/>
      <c r="T74" s="2148">
        <f>ROUND(IPMT(($AA$3%+0.35%)/11,1,$D$171-$D$64+1,$P$172-(SUM($P$4:P73)))*-1,2)</f>
        <v>364.59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364.59</v>
      </c>
      <c r="U75" s="2116"/>
      <c r="V75" s="2116"/>
      <c r="W75" s="2116"/>
      <c r="Y75" s="474">
        <f>SUM(T64:W75)</f>
        <v>4375.0800000000008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364.59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364.59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364.59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364.59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364.59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364.59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364.59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364.59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364.59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364.59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groszy'!W51</f>
        <v>0</v>
      </c>
      <c r="Q86" s="2147"/>
      <c r="R86" s="2147"/>
      <c r="S86" s="2147"/>
      <c r="T86" s="2148">
        <f>ROUND(IPMT(($AA$3%+0.35%)/11,1,$D$171-$D$76+1,$P$172-(SUM($P$4:P85)))*-1,2)</f>
        <v>364.59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364.59</v>
      </c>
      <c r="U87" s="2116"/>
      <c r="V87" s="2116"/>
      <c r="W87" s="2116"/>
      <c r="Y87" s="474">
        <f>SUM(T76:W87)</f>
        <v>4375.0800000000008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364.59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364.59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364.59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364.59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364.59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364.59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364.59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364.59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364.59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364.59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groszy'!Y51</f>
        <v>0</v>
      </c>
      <c r="Q98" s="2147"/>
      <c r="R98" s="2147"/>
      <c r="S98" s="2147"/>
      <c r="T98" s="2148">
        <f>ROUND(IPMT(($AA$3%+0.35%)/11,1,$D$171-$D$88+1,$P$172-(SUM($P$4:P97)))*-1,2)</f>
        <v>364.59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364.59</v>
      </c>
      <c r="U99" s="2116"/>
      <c r="V99" s="2116"/>
      <c r="W99" s="2116"/>
      <c r="Y99" s="474">
        <f>SUM(T88:W99)</f>
        <v>4375.0800000000008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364.59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364.59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364.59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364.59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364.59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364.59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364.59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364.59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364.59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364.59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groszy'!AA51</f>
        <v>92407</v>
      </c>
      <c r="Q110" s="2147"/>
      <c r="R110" s="2147"/>
      <c r="S110" s="2147"/>
      <c r="T110" s="2148">
        <f>ROUND(IPMT(($AA$3%+0.35%)/11,1,$D$171-$D$160+1,$P$172-(SUM($P$4:P109)))*-1,2)</f>
        <v>364.59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4010.4900000000007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groszy'!AC51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groszy'!AE51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groszy'!AG51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92407</v>
      </c>
      <c r="Q172" s="2121"/>
      <c r="R172" s="2121"/>
      <c r="S172" s="2122"/>
      <c r="T172" s="2123">
        <f>SUM(T4:T171)</f>
        <v>39011.127618181767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91" workbookViewId="0">
      <selection activeCell="P123" sqref="P123:S123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3533.5056909090918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3533.51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3533.51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3533.51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3533.51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3533.51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3533.51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3533.51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3533.51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3533.51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groszy'!K52</f>
        <v>0</v>
      </c>
      <c r="Q14" s="2147"/>
      <c r="R14" s="2147"/>
      <c r="S14" s="2147"/>
      <c r="T14" s="2148">
        <f>ROUND(IPMT(($AA$3%+0.35%)/11,1,$D$171-$D$4+1,$P$172-(SUM($P$4:P13)))*-1,2)</f>
        <v>3533.51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3533.51</v>
      </c>
      <c r="U15" s="2116"/>
      <c r="V15" s="2116"/>
      <c r="W15" s="2116"/>
      <c r="Y15" s="474">
        <f>SUM(T4:W15)</f>
        <v>42402.115690909108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3533.51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3533.51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3533.51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3533.51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3533.51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3533.51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3533.51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3533.51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3533.51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3533.51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groszy'!M52</f>
        <v>0</v>
      </c>
      <c r="Q26" s="2147"/>
      <c r="R26" s="2147"/>
      <c r="S26" s="2147"/>
      <c r="T26" s="2148">
        <f>ROUND(IPMT(($AA$3%+0.35%)/11,1,$D$171-$D$16+1,$P$172-(SUM($P$4:P25)))*-1,2)</f>
        <v>3533.51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3533.51</v>
      </c>
      <c r="U27" s="2116"/>
      <c r="V27" s="2116"/>
      <c r="W27" s="2116"/>
      <c r="Y27" s="474">
        <f>SUM(T16:W27)</f>
        <v>42402.120000000017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3533.51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3533.51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3533.51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3533.51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3533.51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3533.51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3533.51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3533.51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3533.51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3533.51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groszy'!O52</f>
        <v>0</v>
      </c>
      <c r="Q38" s="2147"/>
      <c r="R38" s="2147"/>
      <c r="S38" s="2147"/>
      <c r="T38" s="2148">
        <f>ROUND(IPMT(($AA$3%+0.35%)/11,1,$D$171-$D$28+1,$P$172-(SUM($P$4:P37)))*-1,2)</f>
        <v>3533.51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3533.51</v>
      </c>
      <c r="U39" s="2116"/>
      <c r="V39" s="2116"/>
      <c r="W39" s="2116"/>
      <c r="Y39" s="474">
        <f>SUM(T28:W39)</f>
        <v>42402.120000000017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3533.51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3533.51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3533.51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3533.51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3533.51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3533.51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3533.51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3533.51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3533.51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3533.51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groszy'!Q52</f>
        <v>0</v>
      </c>
      <c r="Q50" s="2147"/>
      <c r="R50" s="2147"/>
      <c r="S50" s="2147"/>
      <c r="T50" s="2148">
        <f>ROUND(IPMT(($AA$3%+0.35%)/11,1,$D$171-$D$40+1,$P$172-(SUM($P$4:P49)))*-1,2)</f>
        <v>3533.51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3533.51</v>
      </c>
      <c r="U51" s="2116"/>
      <c r="V51" s="2116"/>
      <c r="W51" s="2116"/>
      <c r="Y51" s="474">
        <f>SUM(T40:W51)</f>
        <v>42402.120000000017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3533.51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3533.51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3533.51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3533.51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3533.51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3533.51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3533.51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3533.51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3533.51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3533.51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groszy'!S52</f>
        <v>0</v>
      </c>
      <c r="Q62" s="2147"/>
      <c r="R62" s="2147"/>
      <c r="S62" s="2147"/>
      <c r="T62" s="2148">
        <f>ROUND(IPMT(($AA$3%+0.35%)/11,1,$D$171-$D$52+1,$P$172-(SUM($P$4:P61)))*-1,2)</f>
        <v>3533.51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3533.51</v>
      </c>
      <c r="U63" s="2116"/>
      <c r="V63" s="2116"/>
      <c r="W63" s="2116"/>
      <c r="Y63" s="474">
        <f>SUM(T52:W63)</f>
        <v>42402.120000000017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3533.51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3533.51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3533.51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3533.51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3533.51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3533.51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3533.51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3533.51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3533.51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3533.51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groszy'!U52</f>
        <v>0</v>
      </c>
      <c r="Q74" s="2147"/>
      <c r="R74" s="2147"/>
      <c r="S74" s="2147"/>
      <c r="T74" s="2148">
        <f>ROUND(IPMT(($AA$3%+0.35%)/11,1,$D$171-$D$64+1,$P$172-(SUM($P$4:P73)))*-1,2)</f>
        <v>3533.51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3533.51</v>
      </c>
      <c r="U75" s="2116"/>
      <c r="V75" s="2116"/>
      <c r="W75" s="2116"/>
      <c r="Y75" s="474">
        <f>SUM(T64:W75)</f>
        <v>42402.120000000017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3533.51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3533.51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3533.51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3533.51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3533.51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3533.51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3533.51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3533.51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3533.51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3533.51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groszy'!W52</f>
        <v>0</v>
      </c>
      <c r="Q86" s="2147"/>
      <c r="R86" s="2147"/>
      <c r="S86" s="2147"/>
      <c r="T86" s="2148">
        <f>ROUND(IPMT(($AA$3%+0.35%)/11,1,$D$171-$D$76+1,$P$172-(SUM($P$4:P85)))*-1,2)</f>
        <v>3533.51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3533.51</v>
      </c>
      <c r="U87" s="2116"/>
      <c r="V87" s="2116"/>
      <c r="W87" s="2116"/>
      <c r="Y87" s="474">
        <f>SUM(T76:W87)</f>
        <v>42402.120000000017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3533.51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3533.51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3533.51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3533.51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3533.51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3533.51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3533.51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3533.51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3533.51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3533.51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groszy'!Y52</f>
        <v>0</v>
      </c>
      <c r="Q98" s="2147"/>
      <c r="R98" s="2147"/>
      <c r="S98" s="2147"/>
      <c r="T98" s="2148">
        <f>ROUND(IPMT(($AA$3%+0.35%)/11,1,$D$171-$D$88+1,$P$172-(SUM($P$4:P97)))*-1,2)</f>
        <v>3533.51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3533.51</v>
      </c>
      <c r="U99" s="2116"/>
      <c r="V99" s="2116"/>
      <c r="W99" s="2116"/>
      <c r="Y99" s="474">
        <f>SUM(T88:W99)</f>
        <v>42402.120000000017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3533.51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3533.51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3533.51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3533.51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3533.51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3533.51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3533.51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3533.51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3533.51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3533.51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groszy'!AA52</f>
        <v>0</v>
      </c>
      <c r="Q110" s="2147"/>
      <c r="R110" s="2147"/>
      <c r="S110" s="2147"/>
      <c r="T110" s="2148">
        <f>ROUND(IPMT(($AA$3%+0.35%)/11,1,$D$171-$D$160+1,$P$172-(SUM($P$4:P109)))*-1,2)</f>
        <v>3533.51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3533.51</v>
      </c>
      <c r="U111" s="2111"/>
      <c r="V111" s="2111"/>
      <c r="W111" s="2111"/>
      <c r="Y111" s="474">
        <f>SUM(T100:W111)</f>
        <v>42402.120000000017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3533.51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3533.51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3533.51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3533.51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3533.51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3533.51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3533.51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3533.51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3533.51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3533.51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groszy'!AC52</f>
        <v>895589</v>
      </c>
      <c r="Q122" s="2147"/>
      <c r="R122" s="2147"/>
      <c r="S122" s="2147"/>
      <c r="T122" s="2148">
        <f>ROUND(IPMT(($AA$3%+0.35%)/11,1,$D$171-$D$160+1,$P$172-(SUM($P$4:P121)))*-1,2)</f>
        <v>3533.51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38868.610000000015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groszy'!AE52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groszy'!AG52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895589</v>
      </c>
      <c r="Q172" s="2121"/>
      <c r="R172" s="2121"/>
      <c r="S172" s="2122"/>
      <c r="T172" s="2123">
        <f>SUM(T4:T171)</f>
        <v>420487.68569090974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67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groszy'!K53</f>
        <v>0</v>
      </c>
      <c r="Q14" s="2147"/>
      <c r="R14" s="2147"/>
      <c r="S14" s="2147"/>
      <c r="T14" s="2148">
        <f>ROUND(IPMT(($AA$3%+0.35%)/11,1,$D$171-$D$4+1,$P$172-(SUM($P$4:P13)))*-1,2)</f>
        <v>0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groszy'!M53</f>
        <v>0</v>
      </c>
      <c r="Q26" s="2147"/>
      <c r="R26" s="2147"/>
      <c r="S26" s="2147"/>
      <c r="T26" s="2148">
        <f>ROUND(IPMT(($AA$3%+0.35%)/11,1,$D$171-$D$16+1,$P$172-(SUM($P$4:P25)))*-1,2)</f>
        <v>0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groszy'!O53</f>
        <v>0</v>
      </c>
      <c r="Q38" s="2147"/>
      <c r="R38" s="2147"/>
      <c r="S38" s="2147"/>
      <c r="T38" s="2148">
        <f>ROUND(IPMT(($AA$3%+0.35%)/11,1,$D$171-$D$28+1,$P$172-(SUM($P$4:P37)))*-1,2)</f>
        <v>0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groszy'!Q53</f>
        <v>0</v>
      </c>
      <c r="Q50" s="2147"/>
      <c r="R50" s="2147"/>
      <c r="S50" s="2147"/>
      <c r="T50" s="2148">
        <f>ROUND(IPMT(($AA$3%+0.35%)/11,1,$D$171-$D$40+1,$P$172-(SUM($P$4:P49)))*-1,2)</f>
        <v>0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groszy'!S53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groszy'!U53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groszy'!W53</f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groszy'!Y53</f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groszy'!AA53</f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groszy'!AC53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groszy'!AE53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groszy'!AG53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15" workbookViewId="0">
      <selection activeCell="P134" sqref="P134:S134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groszy'!K54</f>
        <v>0</v>
      </c>
      <c r="Q14" s="2147"/>
      <c r="R14" s="2147"/>
      <c r="S14" s="2147"/>
      <c r="T14" s="2148">
        <f>ROUND(IPMT(($AA$3%+0.35%)/11,1,$D$171-$D$4+1,$P$172-(SUM($P$4:P13)))*-1,2)</f>
        <v>0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groszy'!M54</f>
        <v>0</v>
      </c>
      <c r="Q26" s="2147"/>
      <c r="R26" s="2147"/>
      <c r="S26" s="2147"/>
      <c r="T26" s="2148">
        <f>ROUND(IPMT(($AA$3%+0.35%)/11,1,$D$171-$D$16+1,$P$172-(SUM($P$4:P25)))*-1,2)</f>
        <v>0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groszy'!O54</f>
        <v>0</v>
      </c>
      <c r="Q38" s="2147"/>
      <c r="R38" s="2147"/>
      <c r="S38" s="2147"/>
      <c r="T38" s="2148">
        <f>ROUND(IPMT(($AA$3%+0.35%)/11,1,$D$171-$D$28+1,$P$172-(SUM($P$4:P37)))*-1,2)</f>
        <v>0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groszy'!Q54</f>
        <v>0</v>
      </c>
      <c r="Q50" s="2147"/>
      <c r="R50" s="2147"/>
      <c r="S50" s="2147"/>
      <c r="T50" s="2148">
        <f>ROUND(IPMT(($AA$3%+0.35%)/11,1,$D$171-$D$40+1,$P$172-(SUM($P$4:P49)))*-1,2)</f>
        <v>0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groszy'!S54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groszy'!U54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groszy'!W54</f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groszy'!Y54</f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groszy'!AA54</f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groszy'!AC54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groszy'!AE54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groszy'!AG54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view="pageBreakPreview" topLeftCell="F1" zoomScale="85" zoomScaleSheetLayoutView="85" workbookViewId="0">
      <selection activeCell="J2" sqref="J2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6" width="1.7109375" style="76" customWidth="1"/>
    <col min="7" max="17" width="17.7109375" style="76" customWidth="1"/>
    <col min="18" max="21" width="17.7109375" customWidth="1"/>
    <col min="22" max="22" width="2.42578125" customWidth="1"/>
  </cols>
  <sheetData>
    <row r="1" spans="2:21">
      <c r="M1" s="1182" t="s">
        <v>476</v>
      </c>
      <c r="N1" s="1182"/>
      <c r="O1" s="1182"/>
      <c r="P1" s="1182"/>
      <c r="Q1" s="1182"/>
    </row>
    <row r="2" spans="2:21"/>
    <row r="3" spans="2:21" ht="35.25">
      <c r="B3" s="1183" t="s">
        <v>448</v>
      </c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</row>
    <row r="4" spans="2:21" ht="13.5" thickBot="1"/>
    <row r="5" spans="2:21" ht="14.25" thickTop="1" thickBot="1">
      <c r="B5" s="1184" t="s">
        <v>196</v>
      </c>
      <c r="C5" s="1186" t="s">
        <v>0</v>
      </c>
      <c r="D5" s="1186" t="s">
        <v>197</v>
      </c>
      <c r="E5" s="1186" t="s">
        <v>198</v>
      </c>
      <c r="F5" s="1188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848"/>
      <c r="T5" s="848"/>
      <c r="U5" s="688"/>
    </row>
    <row r="6" spans="2:21" ht="13.5" thickTop="1">
      <c r="B6" s="1185"/>
      <c r="C6" s="1187"/>
      <c r="D6" s="1187"/>
      <c r="E6" s="1187"/>
      <c r="F6" s="77">
        <v>2012</v>
      </c>
      <c r="G6" s="878">
        <f t="shared" ref="G6:Q6" si="0">F6+1</f>
        <v>2013</v>
      </c>
      <c r="H6" s="879">
        <f t="shared" si="0"/>
        <v>2014</v>
      </c>
      <c r="I6" s="879">
        <f t="shared" si="0"/>
        <v>2015</v>
      </c>
      <c r="J6" s="879">
        <f t="shared" si="0"/>
        <v>2016</v>
      </c>
      <c r="K6" s="879">
        <f t="shared" si="0"/>
        <v>2017</v>
      </c>
      <c r="L6" s="879">
        <f t="shared" si="0"/>
        <v>2018</v>
      </c>
      <c r="M6" s="879">
        <f t="shared" si="0"/>
        <v>2019</v>
      </c>
      <c r="N6" s="879">
        <f t="shared" si="0"/>
        <v>2020</v>
      </c>
      <c r="O6" s="879">
        <f t="shared" si="0"/>
        <v>2021</v>
      </c>
      <c r="P6" s="879">
        <f t="shared" si="0"/>
        <v>2022</v>
      </c>
      <c r="Q6" s="879">
        <f t="shared" si="0"/>
        <v>2023</v>
      </c>
      <c r="R6" s="879">
        <f>Q6+1</f>
        <v>2024</v>
      </c>
      <c r="S6" s="879">
        <f>R6+1</f>
        <v>2025</v>
      </c>
      <c r="T6" s="879">
        <v>2026</v>
      </c>
      <c r="U6" s="879">
        <v>2027</v>
      </c>
    </row>
    <row r="7" spans="2:21">
      <c r="B7" s="78"/>
      <c r="C7" s="79"/>
      <c r="D7" s="79"/>
      <c r="E7" s="79"/>
      <c r="F7" s="80"/>
      <c r="G7" s="81"/>
      <c r="H7" s="82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91"/>
    </row>
    <row r="8" spans="2:21" ht="32.25" customHeight="1">
      <c r="B8" s="85">
        <v>1</v>
      </c>
      <c r="C8" s="874" t="s">
        <v>460</v>
      </c>
      <c r="D8" s="481">
        <v>0</v>
      </c>
      <c r="E8" s="481"/>
      <c r="F8" s="482">
        <f t="shared" ref="F8" si="1">SUM(F9:F24)</f>
        <v>2210961</v>
      </c>
      <c r="G8" s="483">
        <f>SUM(G9:G25)</f>
        <v>12925412</v>
      </c>
      <c r="H8" s="483">
        <f t="shared" ref="H8:U8" si="2">SUM(H9:H25)</f>
        <v>17413971</v>
      </c>
      <c r="I8" s="483">
        <f t="shared" si="2"/>
        <v>16685515</v>
      </c>
      <c r="J8" s="483">
        <f t="shared" si="2"/>
        <v>15035878</v>
      </c>
      <c r="K8" s="483">
        <f t="shared" si="2"/>
        <v>13415553</v>
      </c>
      <c r="L8" s="483">
        <f t="shared" si="2"/>
        <v>11846223</v>
      </c>
      <c r="M8" s="483">
        <f t="shared" si="2"/>
        <v>10373711</v>
      </c>
      <c r="N8" s="483">
        <f t="shared" si="2"/>
        <v>8921542</v>
      </c>
      <c r="O8" s="483">
        <f t="shared" si="2"/>
        <v>7469373</v>
      </c>
      <c r="P8" s="483">
        <f t="shared" si="2"/>
        <v>6017204</v>
      </c>
      <c r="Q8" s="483">
        <f t="shared" si="2"/>
        <v>4565035</v>
      </c>
      <c r="R8" s="483">
        <f t="shared" si="2"/>
        <v>3112866</v>
      </c>
      <c r="S8" s="483">
        <f t="shared" ref="S8:T8" si="3">SUM(S9:S25)</f>
        <v>1661539</v>
      </c>
      <c r="T8" s="483">
        <f t="shared" si="3"/>
        <v>830770</v>
      </c>
      <c r="U8" s="483">
        <f t="shared" si="2"/>
        <v>0</v>
      </c>
    </row>
    <row r="9" spans="2:21" ht="18" hidden="1" customHeight="1" thickTop="1" thickBot="1">
      <c r="B9" s="894"/>
      <c r="C9" s="864" t="s">
        <v>200</v>
      </c>
      <c r="D9" s="484">
        <v>518029</v>
      </c>
      <c r="E9" s="492">
        <v>2004</v>
      </c>
      <c r="F9" s="486">
        <f>'HSZ do złotówek'!AW14</f>
        <v>57557</v>
      </c>
      <c r="G9" s="487">
        <f>'HSZ do złotówek'!AZ14</f>
        <v>0</v>
      </c>
      <c r="H9" s="484">
        <f>'HSZ do złotówek'!BC14</f>
        <v>0</v>
      </c>
      <c r="I9" s="488">
        <f>'HSZ do złotówek'!BF14</f>
        <v>0</v>
      </c>
      <c r="J9" s="484">
        <f>'HSZ do złotówek'!BI14</f>
        <v>0</v>
      </c>
      <c r="K9" s="484">
        <f>'HSZ do złotówek'!BL14</f>
        <v>0</v>
      </c>
      <c r="L9" s="484">
        <f>'HSZ do złotówek'!BO14</f>
        <v>0</v>
      </c>
      <c r="M9" s="484">
        <f>'HSZ do złotówek'!BR14</f>
        <v>0</v>
      </c>
      <c r="N9" s="484">
        <f>'HSZ do złotówek'!BU14</f>
        <v>0</v>
      </c>
      <c r="O9" s="484">
        <f>'HSZ do złotówek'!BX14</f>
        <v>0</v>
      </c>
      <c r="P9" s="484">
        <f>'HSZ do złotówek'!CA14</f>
        <v>0</v>
      </c>
      <c r="Q9" s="484">
        <f>'HSZ do złotówek'!CD14</f>
        <v>0</v>
      </c>
      <c r="R9" s="484">
        <f>'HSZ do złotówek'!CG14</f>
        <v>0</v>
      </c>
      <c r="S9" s="484">
        <f>'HSZ do złotówek'!CF14</f>
        <v>0</v>
      </c>
      <c r="T9" s="484">
        <f>'HSZ do złotówek'!CG14</f>
        <v>0</v>
      </c>
      <c r="U9" s="484">
        <f>'HSZ do złotówek'!CH14</f>
        <v>0</v>
      </c>
    </row>
    <row r="10" spans="2:21" ht="23.25" customHeight="1">
      <c r="B10" s="880" t="s">
        <v>17</v>
      </c>
      <c r="C10" s="89" t="s">
        <v>201</v>
      </c>
      <c r="D10" s="484">
        <v>1498996</v>
      </c>
      <c r="E10" s="492">
        <v>2005</v>
      </c>
      <c r="F10" s="486">
        <f>'HSZ do złotówek'!AW15</f>
        <v>599536</v>
      </c>
      <c r="G10" s="487">
        <f>'HSZ do złotówek'!AZ15</f>
        <v>399656</v>
      </c>
      <c r="H10" s="484">
        <f>'HSZ do złotówek'!BC15</f>
        <v>199776</v>
      </c>
      <c r="I10" s="488">
        <f>'HSZ do złotówek'!BF15</f>
        <v>0</v>
      </c>
      <c r="J10" s="484">
        <f>'HSZ do złotówek'!BI15</f>
        <v>0</v>
      </c>
      <c r="K10" s="484">
        <f>'HSZ do złotówek'!BL15</f>
        <v>0</v>
      </c>
      <c r="L10" s="484">
        <f>'HSZ do złotówek'!BO15</f>
        <v>0</v>
      </c>
      <c r="M10" s="484">
        <f>'HSZ do złotówek'!BR15</f>
        <v>0</v>
      </c>
      <c r="N10" s="484">
        <f>'HSZ do złotówek'!BU15</f>
        <v>0</v>
      </c>
      <c r="O10" s="484">
        <f>'HSZ do złotówek'!BX15</f>
        <v>0</v>
      </c>
      <c r="P10" s="484">
        <f>'HSZ do złotówek'!CA15</f>
        <v>0</v>
      </c>
      <c r="Q10" s="484">
        <f>'HSZ do złotówek'!CD15</f>
        <v>0</v>
      </c>
      <c r="R10" s="484">
        <f>'HSZ do złotówek'!CG15</f>
        <v>0</v>
      </c>
      <c r="S10" s="484">
        <f>'HSZ do złotówek'!CF15</f>
        <v>0</v>
      </c>
      <c r="T10" s="484">
        <f>'HSZ do złotówek'!CG15</f>
        <v>0</v>
      </c>
      <c r="U10" s="484">
        <f>'HSZ do złotówek'!CH15</f>
        <v>0</v>
      </c>
    </row>
    <row r="11" spans="2:21" ht="28.5" customHeight="1">
      <c r="B11" s="88" t="s">
        <v>18</v>
      </c>
      <c r="C11" s="89" t="s">
        <v>202</v>
      </c>
      <c r="D11" s="484">
        <v>138349</v>
      </c>
      <c r="E11" s="492">
        <v>2008</v>
      </c>
      <c r="F11" s="486">
        <f>'HSZ do złotówek'!AW16</f>
        <v>88389</v>
      </c>
      <c r="G11" s="487">
        <f>'HSZ do złotówek'!AZ16</f>
        <v>73017</v>
      </c>
      <c r="H11" s="484">
        <f>'HSZ do złotówek'!BC16</f>
        <v>57645</v>
      </c>
      <c r="I11" s="488">
        <f>'HSZ do złotówek'!BF16</f>
        <v>42273</v>
      </c>
      <c r="J11" s="484">
        <f>'HSZ do złotówek'!BI16</f>
        <v>26901</v>
      </c>
      <c r="K11" s="484">
        <f>'HSZ do złotówek'!BL16</f>
        <v>11529</v>
      </c>
      <c r="L11" s="484">
        <f>'HSZ do złotówek'!BO16</f>
        <v>0</v>
      </c>
      <c r="M11" s="484">
        <f>'HSZ do złotówek'!BR16</f>
        <v>0</v>
      </c>
      <c r="N11" s="484">
        <f>'HSZ do złotówek'!BU16</f>
        <v>0</v>
      </c>
      <c r="O11" s="484">
        <f>'HSZ do złotówek'!BX16</f>
        <v>0</v>
      </c>
      <c r="P11" s="484">
        <f>'HSZ do złotówek'!CA16</f>
        <v>0</v>
      </c>
      <c r="Q11" s="484">
        <f>'HSZ do złotówek'!CD16</f>
        <v>0</v>
      </c>
      <c r="R11" s="484">
        <f>'HSZ do złotówek'!CG16</f>
        <v>0</v>
      </c>
      <c r="S11" s="484">
        <f>'HSZ do złotówek'!CF16</f>
        <v>0</v>
      </c>
      <c r="T11" s="484">
        <f>'HSZ do złotówek'!CG16</f>
        <v>0</v>
      </c>
      <c r="U11" s="484">
        <f>'HSZ do złotówek'!CH16</f>
        <v>0</v>
      </c>
    </row>
    <row r="12" spans="2:21" ht="22.5" customHeight="1">
      <c r="B12" s="88" t="s">
        <v>25</v>
      </c>
      <c r="C12" s="89" t="s">
        <v>204</v>
      </c>
      <c r="D12" s="484">
        <v>499709</v>
      </c>
      <c r="E12" s="492">
        <v>2007</v>
      </c>
      <c r="F12" s="486">
        <f>'HSZ do złotówek'!AW17</f>
        <v>285000</v>
      </c>
      <c r="G12" s="487">
        <f>'HSZ do złotówek'!AZ17</f>
        <v>237500</v>
      </c>
      <c r="H12" s="484">
        <f>'HSZ do złotówek'!BC17</f>
        <v>190000</v>
      </c>
      <c r="I12" s="488">
        <f>'HSZ do złotówek'!BF17</f>
        <v>142500</v>
      </c>
      <c r="J12" s="484">
        <f>'HSZ do złotówek'!BI17</f>
        <v>95000</v>
      </c>
      <c r="K12" s="484">
        <f>'HSZ do złotówek'!BL17</f>
        <v>47500</v>
      </c>
      <c r="L12" s="484">
        <f>'HSZ do złotówek'!BO17</f>
        <v>0</v>
      </c>
      <c r="M12" s="484">
        <f>'HSZ do złotówek'!BR17</f>
        <v>0</v>
      </c>
      <c r="N12" s="484">
        <f>'HSZ do złotówek'!BU17</f>
        <v>0</v>
      </c>
      <c r="O12" s="484">
        <f>'HSZ do złotówek'!BX17</f>
        <v>0</v>
      </c>
      <c r="P12" s="484">
        <f>'HSZ do złotówek'!CA17</f>
        <v>0</v>
      </c>
      <c r="Q12" s="484">
        <f>'HSZ do złotówek'!CD17</f>
        <v>0</v>
      </c>
      <c r="R12" s="484">
        <f>'HSZ do złotówek'!CG17</f>
        <v>0</v>
      </c>
      <c r="S12" s="484">
        <f>'HSZ do złotówek'!CF17</f>
        <v>0</v>
      </c>
      <c r="T12" s="484">
        <f>'HSZ do złotówek'!CG17</f>
        <v>0</v>
      </c>
      <c r="U12" s="484">
        <f>'HSZ do złotówek'!CH17</f>
        <v>0</v>
      </c>
    </row>
    <row r="13" spans="2:21" ht="30.75" customHeight="1">
      <c r="B13" s="88" t="s">
        <v>203</v>
      </c>
      <c r="C13" s="89" t="s">
        <v>206</v>
      </c>
      <c r="D13" s="484">
        <v>307667</v>
      </c>
      <c r="E13" s="492">
        <v>2003</v>
      </c>
      <c r="F13" s="486">
        <f>'HSZ do złotówek'!AW18</f>
        <v>0</v>
      </c>
      <c r="G13" s="487">
        <f>'HSZ do złotówek'!AZ18</f>
        <v>0</v>
      </c>
      <c r="H13" s="484">
        <f>'HSZ do złotówek'!BC18</f>
        <v>0</v>
      </c>
      <c r="I13" s="488">
        <f>'HSZ do złotówek'!BF18</f>
        <v>0</v>
      </c>
      <c r="J13" s="484">
        <f>'HSZ do złotówek'!BI18</f>
        <v>0</v>
      </c>
      <c r="K13" s="484">
        <f>'HSZ do złotówek'!BL18</f>
        <v>0</v>
      </c>
      <c r="L13" s="484">
        <f>'HSZ do złotówek'!BO18</f>
        <v>0</v>
      </c>
      <c r="M13" s="484">
        <f>'HSZ do złotówek'!BR18</f>
        <v>0</v>
      </c>
      <c r="N13" s="484">
        <f>'HSZ do złotówek'!BU18</f>
        <v>0</v>
      </c>
      <c r="O13" s="484">
        <f>'HSZ do złotówek'!BX18</f>
        <v>0</v>
      </c>
      <c r="P13" s="484">
        <f>'HSZ do złotówek'!CA18</f>
        <v>0</v>
      </c>
      <c r="Q13" s="484">
        <f>'HSZ do złotówek'!CD18</f>
        <v>0</v>
      </c>
      <c r="R13" s="484">
        <f>'HSZ do złotówek'!CG18</f>
        <v>0</v>
      </c>
      <c r="S13" s="484">
        <f>'HSZ do złotówek'!CF18</f>
        <v>0</v>
      </c>
      <c r="T13" s="484">
        <f>'HSZ do złotówek'!CG18</f>
        <v>0</v>
      </c>
      <c r="U13" s="484">
        <f>'HSZ do złotówek'!CH18</f>
        <v>0</v>
      </c>
    </row>
    <row r="14" spans="2:21" ht="24" customHeight="1">
      <c r="B14" s="88" t="s">
        <v>205</v>
      </c>
      <c r="C14" s="89" t="s">
        <v>208</v>
      </c>
      <c r="D14" s="484">
        <v>366174</v>
      </c>
      <c r="E14" s="492">
        <v>2008</v>
      </c>
      <c r="F14" s="486">
        <f>'HSZ do złotówek'!AW19</f>
        <v>255174</v>
      </c>
      <c r="G14" s="487">
        <f>'HSZ do złotówek'!AZ19</f>
        <v>218174</v>
      </c>
      <c r="H14" s="484">
        <f>'HSZ do złotówek'!BC19</f>
        <v>183085</v>
      </c>
      <c r="I14" s="488">
        <f>'HSZ do złotówek'!BF19</f>
        <v>142399</v>
      </c>
      <c r="J14" s="484">
        <f>'HSZ do złotówek'!BI19</f>
        <v>101713</v>
      </c>
      <c r="K14" s="484">
        <f>'HSZ do złotówek'!BL19</f>
        <v>61027</v>
      </c>
      <c r="L14" s="484">
        <f>'HSZ do złotówek'!BO19</f>
        <v>20341</v>
      </c>
      <c r="M14" s="484">
        <f>'HSZ do złotówek'!BR19</f>
        <v>0</v>
      </c>
      <c r="N14" s="484">
        <f>'HSZ do złotówek'!BU19</f>
        <v>0</v>
      </c>
      <c r="O14" s="484">
        <f>'HSZ do złotówek'!BX19</f>
        <v>0</v>
      </c>
      <c r="P14" s="484">
        <f>'HSZ do złotówek'!CA19</f>
        <v>0</v>
      </c>
      <c r="Q14" s="484">
        <f>'HSZ do złotówek'!CD19</f>
        <v>0</v>
      </c>
      <c r="R14" s="484">
        <f>'HSZ do złotówek'!CG19</f>
        <v>0</v>
      </c>
      <c r="S14" s="484">
        <f>'HSZ do złotówek'!CF19</f>
        <v>0</v>
      </c>
      <c r="T14" s="484">
        <f>'HSZ do złotówek'!CG19</f>
        <v>0</v>
      </c>
      <c r="U14" s="484">
        <f>'HSZ do złotówek'!CH19</f>
        <v>0</v>
      </c>
    </row>
    <row r="15" spans="2:21" ht="25.5" customHeight="1">
      <c r="B15" s="88" t="s">
        <v>207</v>
      </c>
      <c r="C15" s="92" t="s">
        <v>210</v>
      </c>
      <c r="D15" s="484">
        <v>562761</v>
      </c>
      <c r="E15" s="492">
        <v>2005</v>
      </c>
      <c r="F15" s="486">
        <f>'HSZ do złotówek'!AW20</f>
        <v>203202</v>
      </c>
      <c r="G15" s="487">
        <f>'HSZ do złotówek'!AZ20</f>
        <v>140670</v>
      </c>
      <c r="H15" s="484">
        <f>'HSZ do złotówek'!BC20</f>
        <v>78138</v>
      </c>
      <c r="I15" s="488">
        <f>'HSZ do złotówek'!BF20</f>
        <v>15606</v>
      </c>
      <c r="J15" s="484">
        <f>'HSZ do złotówek'!BI20</f>
        <v>0</v>
      </c>
      <c r="K15" s="484">
        <f>'HSZ do złotówek'!BL20</f>
        <v>0</v>
      </c>
      <c r="L15" s="484">
        <f>'HSZ do złotówek'!BO20</f>
        <v>0</v>
      </c>
      <c r="M15" s="484">
        <f>'HSZ do złotówek'!BR20</f>
        <v>0</v>
      </c>
      <c r="N15" s="484">
        <f>'HSZ do złotówek'!BU20</f>
        <v>0</v>
      </c>
      <c r="O15" s="484">
        <f>'HSZ do złotówek'!BX20</f>
        <v>0</v>
      </c>
      <c r="P15" s="484">
        <f>'HSZ do złotówek'!CA20</f>
        <v>0</v>
      </c>
      <c r="Q15" s="484">
        <f>'HSZ do złotówek'!CD20</f>
        <v>0</v>
      </c>
      <c r="R15" s="484">
        <f>'HSZ do złotówek'!CG20</f>
        <v>0</v>
      </c>
      <c r="S15" s="484">
        <f>'HSZ do złotówek'!CF20</f>
        <v>0</v>
      </c>
      <c r="T15" s="484">
        <f>'HSZ do złotówek'!CG20</f>
        <v>0</v>
      </c>
      <c r="U15" s="484">
        <f>'HSZ do złotówek'!CH20</f>
        <v>0</v>
      </c>
    </row>
    <row r="16" spans="2:21" ht="24" customHeight="1">
      <c r="B16" s="88" t="s">
        <v>209</v>
      </c>
      <c r="C16" s="92" t="s">
        <v>212</v>
      </c>
      <c r="D16" s="484">
        <v>917338</v>
      </c>
      <c r="E16" s="492">
        <v>2006</v>
      </c>
      <c r="F16" s="486">
        <f>'HSZ do złotówek'!AW21</f>
        <v>185098</v>
      </c>
      <c r="G16" s="487">
        <f>'HSZ do złotówek'!AZ21</f>
        <v>22378</v>
      </c>
      <c r="H16" s="484">
        <f>'HSZ do złotówek'!BC21</f>
        <v>0</v>
      </c>
      <c r="I16" s="488">
        <f>'HSZ do złotówek'!BF21</f>
        <v>0</v>
      </c>
      <c r="J16" s="484">
        <f>'HSZ do złotówek'!BI21</f>
        <v>0</v>
      </c>
      <c r="K16" s="484">
        <f>'HSZ do złotówek'!BL21</f>
        <v>0</v>
      </c>
      <c r="L16" s="484">
        <f>'HSZ do złotówek'!BO21</f>
        <v>0</v>
      </c>
      <c r="M16" s="484">
        <f>'HSZ do złotówek'!BR21</f>
        <v>0</v>
      </c>
      <c r="N16" s="484">
        <f>'HSZ do złotówek'!BU21</f>
        <v>0</v>
      </c>
      <c r="O16" s="484">
        <f>'HSZ do złotówek'!BX21</f>
        <v>0</v>
      </c>
      <c r="P16" s="484">
        <f>'HSZ do złotówek'!CA21</f>
        <v>0</v>
      </c>
      <c r="Q16" s="484">
        <f>'HSZ do złotówek'!CD21</f>
        <v>0</v>
      </c>
      <c r="R16" s="484">
        <f>'HSZ do złotówek'!CG21</f>
        <v>0</v>
      </c>
      <c r="S16" s="484">
        <f>'HSZ do złotówek'!CF21</f>
        <v>0</v>
      </c>
      <c r="T16" s="484">
        <f>'HSZ do złotówek'!CG21</f>
        <v>0</v>
      </c>
      <c r="U16" s="484">
        <f>'HSZ do złotówek'!CH21</f>
        <v>0</v>
      </c>
    </row>
    <row r="17" spans="1:21" ht="25.5" customHeight="1">
      <c r="B17" s="88" t="s">
        <v>211</v>
      </c>
      <c r="C17" s="92" t="s">
        <v>214</v>
      </c>
      <c r="D17" s="484">
        <v>548278</v>
      </c>
      <c r="E17" s="492">
        <v>2006</v>
      </c>
      <c r="F17" s="486">
        <f>'HSZ do złotówek'!AW22</f>
        <v>260414</v>
      </c>
      <c r="G17" s="487">
        <f>'HSZ do złotówek'!AZ22</f>
        <v>205590</v>
      </c>
      <c r="H17" s="484">
        <f>'HSZ do złotówek'!BC22</f>
        <v>150766</v>
      </c>
      <c r="I17" s="488">
        <f>'HSZ do złotówek'!BF22</f>
        <v>95942</v>
      </c>
      <c r="J17" s="484">
        <f>'HSZ do złotówek'!BI22</f>
        <v>41118</v>
      </c>
      <c r="K17" s="484">
        <f>'HSZ do złotówek'!BL22</f>
        <v>0</v>
      </c>
      <c r="L17" s="484">
        <f>'HSZ do złotówek'!BO22</f>
        <v>0</v>
      </c>
      <c r="M17" s="484">
        <f>'HSZ do złotówek'!BR22</f>
        <v>0</v>
      </c>
      <c r="N17" s="484">
        <f>'HSZ do złotówek'!BU22</f>
        <v>0</v>
      </c>
      <c r="O17" s="484">
        <f>'HSZ do złotówek'!BX22</f>
        <v>0</v>
      </c>
      <c r="P17" s="484">
        <f>'HSZ do złotówek'!CA22</f>
        <v>0</v>
      </c>
      <c r="Q17" s="484">
        <f>'HSZ do złotówek'!CD22</f>
        <v>0</v>
      </c>
      <c r="R17" s="484">
        <f>'HSZ do złotówek'!CG22</f>
        <v>0</v>
      </c>
      <c r="S17" s="484">
        <f>'HSZ do złotówek'!CF22</f>
        <v>0</v>
      </c>
      <c r="T17" s="484">
        <f>'HSZ do złotówek'!CG22</f>
        <v>0</v>
      </c>
      <c r="U17" s="484">
        <f>'HSZ do złotówek'!CH22</f>
        <v>0</v>
      </c>
    </row>
    <row r="18" spans="1:21" ht="27.75" customHeight="1">
      <c r="B18" s="88" t="s">
        <v>213</v>
      </c>
      <c r="C18" s="92" t="s">
        <v>216</v>
      </c>
      <c r="D18" s="484">
        <v>222896</v>
      </c>
      <c r="E18" s="492">
        <v>2007</v>
      </c>
      <c r="F18" s="486">
        <f>'HSZ do złotówek'!AW23</f>
        <v>134846</v>
      </c>
      <c r="G18" s="487">
        <f>'HSZ do złotówek'!AZ23</f>
        <v>111366</v>
      </c>
      <c r="H18" s="484">
        <f>'HSZ do złotówek'!BC23</f>
        <v>87886</v>
      </c>
      <c r="I18" s="488">
        <f>'HSZ do złotówek'!BF23</f>
        <v>64406</v>
      </c>
      <c r="J18" s="484">
        <f>'HSZ do złotówek'!BI23</f>
        <v>40926</v>
      </c>
      <c r="K18" s="484">
        <f>'HSZ do złotówek'!BL23</f>
        <v>17446</v>
      </c>
      <c r="L18" s="484">
        <f>'HSZ do złotówek'!BO23</f>
        <v>0</v>
      </c>
      <c r="M18" s="484">
        <f>'HSZ do złotówek'!BR23</f>
        <v>0</v>
      </c>
      <c r="N18" s="484">
        <f>'HSZ do złotówek'!BU23</f>
        <v>0</v>
      </c>
      <c r="O18" s="484">
        <f>'HSZ do złotówek'!BX23</f>
        <v>0</v>
      </c>
      <c r="P18" s="484">
        <f>'HSZ do złotówek'!CA23</f>
        <v>0</v>
      </c>
      <c r="Q18" s="484">
        <f>'HSZ do złotówek'!CD23</f>
        <v>0</v>
      </c>
      <c r="R18" s="484">
        <f>'HSZ do złotówek'!CG23</f>
        <v>0</v>
      </c>
      <c r="S18" s="484">
        <f>'HSZ do złotówek'!CF23</f>
        <v>0</v>
      </c>
      <c r="T18" s="484">
        <f>'HSZ do złotówek'!CG23</f>
        <v>0</v>
      </c>
      <c r="U18" s="484">
        <f>'HSZ do złotówek'!CH23</f>
        <v>0</v>
      </c>
    </row>
    <row r="19" spans="1:21" ht="25.5" customHeight="1">
      <c r="B19" s="88" t="s">
        <v>215</v>
      </c>
      <c r="C19" s="92" t="s">
        <v>218</v>
      </c>
      <c r="D19" s="484">
        <v>141743.99</v>
      </c>
      <c r="E19" s="492">
        <v>2006</v>
      </c>
      <c r="F19" s="486">
        <f>'HSZ do złotówek'!AW24</f>
        <v>141745</v>
      </c>
      <c r="G19" s="487">
        <f>'HSZ do złotówek'!AZ24</f>
        <v>141745</v>
      </c>
      <c r="H19" s="484">
        <f>'HSZ do złotówek'!BC24</f>
        <v>1402</v>
      </c>
      <c r="I19" s="488">
        <f>'HSZ do złotówek'!BF24</f>
        <v>0</v>
      </c>
      <c r="J19" s="484">
        <f>'HSZ do złotówek'!BI24</f>
        <v>0</v>
      </c>
      <c r="K19" s="484">
        <f>'HSZ do złotówek'!BL24</f>
        <v>0</v>
      </c>
      <c r="L19" s="484">
        <f>'HSZ do złotówek'!BO24</f>
        <v>0</v>
      </c>
      <c r="M19" s="484">
        <f>'HSZ do złotówek'!BR24</f>
        <v>0</v>
      </c>
      <c r="N19" s="484">
        <f>'HSZ do złotówek'!BU24</f>
        <v>0</v>
      </c>
      <c r="O19" s="484">
        <f>'HSZ do złotówek'!BX24</f>
        <v>0</v>
      </c>
      <c r="P19" s="484">
        <f>'HSZ do złotówek'!CA24</f>
        <v>0</v>
      </c>
      <c r="Q19" s="484">
        <f>'HSZ do złotówek'!CD24</f>
        <v>0</v>
      </c>
      <c r="R19" s="484">
        <f>'HSZ do złotówek'!CG24</f>
        <v>0</v>
      </c>
      <c r="S19" s="484">
        <f>'HSZ do złotówek'!CF24</f>
        <v>0</v>
      </c>
      <c r="T19" s="484">
        <f>'HSZ do złotówek'!CG24</f>
        <v>0</v>
      </c>
      <c r="U19" s="484">
        <f>'HSZ do złotówek'!CH24</f>
        <v>0</v>
      </c>
    </row>
    <row r="20" spans="1:21" ht="17.25" customHeight="1">
      <c r="B20" s="88"/>
      <c r="C20" s="93" t="s">
        <v>219</v>
      </c>
      <c r="D20" s="624"/>
      <c r="E20" s="625"/>
      <c r="F20" s="866"/>
      <c r="G20" s="86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7"/>
      <c r="S20" s="627"/>
      <c r="T20" s="627"/>
      <c r="U20" s="627"/>
    </row>
    <row r="21" spans="1:21" ht="25.5" customHeight="1">
      <c r="B21" s="88" t="s">
        <v>217</v>
      </c>
      <c r="C21" s="1179" t="s">
        <v>462</v>
      </c>
      <c r="D21" s="1180"/>
      <c r="E21" s="1181"/>
      <c r="F21" s="868"/>
      <c r="G21" s="867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</row>
    <row r="22" spans="1:21" ht="21.75" customHeight="1">
      <c r="B22" s="88"/>
      <c r="C22" s="895" t="str">
        <f>'HSZ do złotówek'!A27</f>
        <v>pożyczka 2013</v>
      </c>
      <c r="D22" s="484">
        <v>2285316</v>
      </c>
      <c r="E22" s="492">
        <v>2013</v>
      </c>
      <c r="F22" s="486">
        <f>'HSZ do złotówek'!AW27</f>
        <v>0</v>
      </c>
      <c r="G22" s="487">
        <f>'HSZ do złotówek'!AZ27</f>
        <v>2285316</v>
      </c>
      <c r="H22" s="484">
        <f>'HSZ do złotówek'!BC27</f>
        <v>2285316</v>
      </c>
      <c r="I22" s="488">
        <f>'HSZ do złotówek'!BF27</f>
        <v>2285316</v>
      </c>
      <c r="J22" s="484">
        <f>'HSZ do złotówek'!BI27</f>
        <v>2056784</v>
      </c>
      <c r="K22" s="484">
        <f>'HSZ do złotówek'!BL27</f>
        <v>1828252</v>
      </c>
      <c r="L22" s="484">
        <f>'HSZ do złotówek'!BO27</f>
        <v>1599720</v>
      </c>
      <c r="M22" s="484">
        <f>'HSZ do złotówek'!BR27</f>
        <v>1371188</v>
      </c>
      <c r="N22" s="484">
        <f>'HSZ do złotówek'!BU27</f>
        <v>1142656</v>
      </c>
      <c r="O22" s="484">
        <f>'HSZ do złotówek'!BX27</f>
        <v>914124</v>
      </c>
      <c r="P22" s="484">
        <f>'HSZ do złotówek'!CA27</f>
        <v>685592</v>
      </c>
      <c r="Q22" s="484">
        <f>'HSZ do złotówek'!CD27</f>
        <v>457060</v>
      </c>
      <c r="R22" s="484">
        <f>'HSZ do złotówek'!CG27</f>
        <v>228528</v>
      </c>
      <c r="S22" s="484">
        <f>'HSZ do złotówek'!CT27</f>
        <v>0</v>
      </c>
      <c r="T22" s="484">
        <f>'HSZ do złotówek'!CU27</f>
        <v>0</v>
      </c>
      <c r="U22" s="484">
        <f>'HSZ do złotówek'!CV27</f>
        <v>0</v>
      </c>
    </row>
    <row r="23" spans="1:21" ht="21" customHeight="1">
      <c r="B23" s="88"/>
      <c r="C23" s="895" t="str">
        <f>'HSZ do złotówek'!A28</f>
        <v>pożyczka 2014</v>
      </c>
      <c r="D23" s="484">
        <v>3379957</v>
      </c>
      <c r="E23" s="492" t="s">
        <v>457</v>
      </c>
      <c r="F23" s="486">
        <f>'HSZ do złotówek'!AW28</f>
        <v>0</v>
      </c>
      <c r="G23" s="487">
        <f>'HSZ do złotówek'!AZ28</f>
        <v>0</v>
      </c>
      <c r="H23" s="484">
        <f>'HSZ do złotówek'!BC28</f>
        <v>3379957</v>
      </c>
      <c r="I23" s="488">
        <f>'HSZ do złotówek'!BF28</f>
        <v>3379957</v>
      </c>
      <c r="J23" s="484">
        <f>'HSZ do złotówek'!BI28</f>
        <v>3041961</v>
      </c>
      <c r="K23" s="484">
        <f>'HSZ do złotówek'!BL28</f>
        <v>2703965</v>
      </c>
      <c r="L23" s="484">
        <f>'HSZ do złotówek'!BO28</f>
        <v>2365969</v>
      </c>
      <c r="M23" s="484">
        <f>'HSZ do złotówek'!BR28</f>
        <v>2027973</v>
      </c>
      <c r="N23" s="484">
        <f>'HSZ do złotówek'!BU28</f>
        <v>1689977</v>
      </c>
      <c r="O23" s="484">
        <f>'HSZ do złotówek'!BX28</f>
        <v>1351981</v>
      </c>
      <c r="P23" s="484">
        <f>'HSZ do złotówek'!CA28</f>
        <v>1013985</v>
      </c>
      <c r="Q23" s="484">
        <f>'HSZ do złotówek'!CD28</f>
        <v>675989</v>
      </c>
      <c r="R23" s="484">
        <f>'HSZ do złotówek'!CG28</f>
        <v>337993</v>
      </c>
      <c r="S23" s="484">
        <f>'HSZ do złotówek'!CT28</f>
        <v>0</v>
      </c>
      <c r="T23" s="484">
        <f>'HSZ do złotówek'!CU28</f>
        <v>0</v>
      </c>
      <c r="U23" s="484">
        <f>'HSZ do złotówek'!CV28</f>
        <v>0</v>
      </c>
    </row>
    <row r="24" spans="1:21" ht="23.25" customHeight="1">
      <c r="B24" s="88"/>
      <c r="C24" s="895" t="str">
        <f>'HSZ do złotówek'!A29</f>
        <v>pożyczka 2015</v>
      </c>
      <c r="D24" s="484">
        <v>547885</v>
      </c>
      <c r="E24" s="492" t="s">
        <v>458</v>
      </c>
      <c r="F24" s="486">
        <f>'HSZ do złotówek'!AW29</f>
        <v>0</v>
      </c>
      <c r="G24" s="487">
        <f>'HSZ do złotówek'!AZ29</f>
        <v>0</v>
      </c>
      <c r="H24" s="484">
        <f>'HSZ do złotówek'!BC29</f>
        <v>0</v>
      </c>
      <c r="I24" s="488">
        <f>'HSZ do złotówek'!BF29</f>
        <v>547885</v>
      </c>
      <c r="J24" s="484">
        <f>'HSZ do złotówek'!BI29</f>
        <v>493013</v>
      </c>
      <c r="K24" s="484">
        <f>'HSZ do złotówek'!BL29</f>
        <v>438141</v>
      </c>
      <c r="L24" s="484">
        <f>'HSZ do złotówek'!BO29</f>
        <v>383269</v>
      </c>
      <c r="M24" s="484">
        <f>'HSZ do złotówek'!BR29</f>
        <v>328397</v>
      </c>
      <c r="N24" s="484">
        <f>'HSZ do złotówek'!BU29</f>
        <v>273525</v>
      </c>
      <c r="O24" s="484">
        <f>'HSZ do złotówek'!BX29</f>
        <v>218653</v>
      </c>
      <c r="P24" s="484">
        <f>'HSZ do złotówek'!CA29</f>
        <v>163781</v>
      </c>
      <c r="Q24" s="484">
        <f>'HSZ do złotówek'!CD29</f>
        <v>108909</v>
      </c>
      <c r="R24" s="484">
        <f>'HSZ do złotówek'!CG29</f>
        <v>54037</v>
      </c>
      <c r="S24" s="484">
        <f>'HSZ do złotówek'!CT29</f>
        <v>0</v>
      </c>
      <c r="T24" s="484">
        <f>'HSZ do złotówek'!CU29</f>
        <v>0</v>
      </c>
      <c r="U24" s="484">
        <f>'HSZ do złotówek'!CV29</f>
        <v>0</v>
      </c>
    </row>
    <row r="25" spans="1:21" ht="24" customHeight="1">
      <c r="B25" s="88"/>
      <c r="C25" s="883" t="s">
        <v>451</v>
      </c>
      <c r="D25" s="484">
        <v>10800000</v>
      </c>
      <c r="E25" s="492" t="s">
        <v>456</v>
      </c>
      <c r="F25" s="906">
        <f>'HSZ do złotówek'!AW30</f>
        <v>0</v>
      </c>
      <c r="G25" s="487">
        <f>'HSZ do złotówek'!AZ30</f>
        <v>9090000</v>
      </c>
      <c r="H25" s="484">
        <f>'HSZ do złotówek'!BC30</f>
        <v>10800000</v>
      </c>
      <c r="I25" s="488">
        <f>'HSZ do złotówek'!BF30</f>
        <v>9969231</v>
      </c>
      <c r="J25" s="484">
        <f>'HSZ do złotówek'!BI30</f>
        <v>9138462</v>
      </c>
      <c r="K25" s="484">
        <f>'HSZ do złotówek'!BL30</f>
        <v>8307693</v>
      </c>
      <c r="L25" s="484">
        <f>'HSZ do złotówek'!BO30</f>
        <v>7476924</v>
      </c>
      <c r="M25" s="484">
        <f>'HSZ do złotówek'!BR30-2</f>
        <v>6646153</v>
      </c>
      <c r="N25" s="484">
        <f>'HSZ do złotówek'!BU30-2</f>
        <v>5815384</v>
      </c>
      <c r="O25" s="484">
        <f>'HSZ do złotówek'!BX30-2</f>
        <v>4984615</v>
      </c>
      <c r="P25" s="484">
        <f>'HSZ do złotówek'!CA30-2</f>
        <v>4153846</v>
      </c>
      <c r="Q25" s="484">
        <f>'HSZ do złotówek'!CD30-2</f>
        <v>3323077</v>
      </c>
      <c r="R25" s="484">
        <f>'HSZ do złotówek'!CG30-2</f>
        <v>2492308</v>
      </c>
      <c r="S25" s="484">
        <f>'HSZ do złotówek'!CJ30-2</f>
        <v>1661539</v>
      </c>
      <c r="T25" s="484">
        <f>'HSZ do złotówek'!CM30-2</f>
        <v>830770</v>
      </c>
      <c r="U25" s="484">
        <f>'HSZ do złotówek'!CP30</f>
        <v>0</v>
      </c>
    </row>
    <row r="26" spans="1:21" ht="40.5" customHeight="1">
      <c r="A26" s="94"/>
      <c r="B26" s="95" t="s">
        <v>221</v>
      </c>
      <c r="C26" s="874" t="s">
        <v>266</v>
      </c>
      <c r="D26" s="908">
        <v>0</v>
      </c>
      <c r="E26" s="908"/>
      <c r="F26" s="907">
        <f t="shared" ref="F26:P26" si="4">SUM(F27:F28)</f>
        <v>0</v>
      </c>
      <c r="G26" s="490">
        <f t="shared" si="4"/>
        <v>592000</v>
      </c>
      <c r="H26" s="489">
        <f t="shared" si="4"/>
        <v>4200000</v>
      </c>
      <c r="I26" s="489">
        <f t="shared" si="4"/>
        <v>3876923</v>
      </c>
      <c r="J26" s="489">
        <f t="shared" si="4"/>
        <v>3553846</v>
      </c>
      <c r="K26" s="489">
        <f t="shared" si="4"/>
        <v>3230769</v>
      </c>
      <c r="L26" s="489">
        <f t="shared" si="4"/>
        <v>2907692</v>
      </c>
      <c r="M26" s="489">
        <f t="shared" si="4"/>
        <v>2584615</v>
      </c>
      <c r="N26" s="489">
        <f t="shared" si="4"/>
        <v>2261538</v>
      </c>
      <c r="O26" s="489">
        <f t="shared" si="4"/>
        <v>1938461</v>
      </c>
      <c r="P26" s="489">
        <f t="shared" si="4"/>
        <v>1615384</v>
      </c>
      <c r="Q26" s="489">
        <f t="shared" ref="Q26:S26" si="5">SUM(Q27:Q28)</f>
        <v>1292307</v>
      </c>
      <c r="R26" s="489">
        <f t="shared" si="5"/>
        <v>969230</v>
      </c>
      <c r="S26" s="489">
        <f t="shared" si="5"/>
        <v>646153</v>
      </c>
      <c r="T26" s="489">
        <f t="shared" ref="T26" si="6">SUM(T27:T28)</f>
        <v>323076</v>
      </c>
      <c r="U26" s="489">
        <f t="shared" ref="U26" si="7">SUM(U27:U28)</f>
        <v>0</v>
      </c>
    </row>
    <row r="27" spans="1:21">
      <c r="B27" s="88"/>
      <c r="C27" s="92"/>
      <c r="D27" s="484"/>
      <c r="E27" s="485"/>
      <c r="F27" s="486"/>
      <c r="G27" s="487"/>
      <c r="H27" s="484"/>
      <c r="I27" s="488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</row>
    <row r="28" spans="1:21" ht="28.5" customHeight="1">
      <c r="B28" s="88" t="s">
        <v>29</v>
      </c>
      <c r="C28" s="93" t="s">
        <v>459</v>
      </c>
      <c r="D28" s="484">
        <v>4200000</v>
      </c>
      <c r="E28" s="485" t="s">
        <v>456</v>
      </c>
      <c r="F28" s="486"/>
      <c r="G28" s="487">
        <f>'HSZ do złotówek'!AZ10</f>
        <v>592000</v>
      </c>
      <c r="H28" s="484">
        <f>'HSZ do złotówek'!BC10</f>
        <v>4200000</v>
      </c>
      <c r="I28" s="488">
        <f>'HSZ do złotówek'!BF10</f>
        <v>3876923</v>
      </c>
      <c r="J28" s="484">
        <f>'HSZ do złotówek'!BI10</f>
        <v>3553846</v>
      </c>
      <c r="K28" s="484">
        <f>'HSZ do złotówek'!BL10</f>
        <v>3230769</v>
      </c>
      <c r="L28" s="484">
        <f>'HSZ do złotówek'!BO10</f>
        <v>2907692</v>
      </c>
      <c r="M28" s="484">
        <f>'HSZ do złotówek'!BR10</f>
        <v>2584615</v>
      </c>
      <c r="N28" s="484">
        <f>'HSZ do złotówek'!BU10</f>
        <v>2261538</v>
      </c>
      <c r="O28" s="484">
        <f>'HSZ do złotówek'!BX10</f>
        <v>1938461</v>
      </c>
      <c r="P28" s="484">
        <f>'HSZ do złotówek'!CA10</f>
        <v>1615384</v>
      </c>
      <c r="Q28" s="484">
        <f>'HSZ do złotówek'!CD10</f>
        <v>1292307</v>
      </c>
      <c r="R28" s="484">
        <f>'HSZ do złotówek'!CG10</f>
        <v>969230</v>
      </c>
      <c r="S28" s="484">
        <f>'HSZ do złotówek'!CJ10</f>
        <v>646153</v>
      </c>
      <c r="T28" s="484">
        <f>'HSZ do złotówek'!CM10</f>
        <v>323076</v>
      </c>
      <c r="U28" s="484">
        <f>'HSZ do złotówek'!CP10</f>
        <v>0</v>
      </c>
    </row>
    <row r="29" spans="1:21">
      <c r="B29" s="88"/>
      <c r="C29" s="93"/>
      <c r="D29" s="484"/>
      <c r="E29" s="484"/>
      <c r="F29" s="486"/>
      <c r="G29" s="487"/>
      <c r="H29" s="484"/>
      <c r="I29" s="488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</row>
    <row r="30" spans="1:21" ht="50.25" customHeight="1">
      <c r="B30" s="85">
        <v>3</v>
      </c>
      <c r="C30" s="874" t="s">
        <v>461</v>
      </c>
      <c r="D30" s="481">
        <v>0</v>
      </c>
      <c r="E30" s="481"/>
      <c r="F30" s="482">
        <f>SUM(F31:F38)</f>
        <v>45900000</v>
      </c>
      <c r="G30" s="483">
        <f>SUM(G31:G39)</f>
        <v>47700000</v>
      </c>
      <c r="H30" s="483">
        <f t="shared" ref="H30:U30" si="8">SUM(H31:H39)</f>
        <v>44200000</v>
      </c>
      <c r="I30" s="483">
        <f t="shared" si="8"/>
        <v>40300000</v>
      </c>
      <c r="J30" s="483">
        <f t="shared" si="8"/>
        <v>34300000</v>
      </c>
      <c r="K30" s="483">
        <f t="shared" si="8"/>
        <v>28543402</v>
      </c>
      <c r="L30" s="483">
        <f t="shared" si="8"/>
        <v>22635809</v>
      </c>
      <c r="M30" s="483">
        <f t="shared" si="8"/>
        <v>16531398</v>
      </c>
      <c r="N30" s="483">
        <f t="shared" si="8"/>
        <v>11231398</v>
      </c>
      <c r="O30" s="483">
        <f t="shared" si="8"/>
        <v>6987996</v>
      </c>
      <c r="P30" s="483">
        <f t="shared" si="8"/>
        <v>2163242</v>
      </c>
      <c r="Q30" s="483">
        <f t="shared" si="8"/>
        <v>1267653</v>
      </c>
      <c r="R30" s="483">
        <f t="shared" si="8"/>
        <v>0</v>
      </c>
      <c r="S30" s="483">
        <f t="shared" si="8"/>
        <v>0</v>
      </c>
      <c r="T30" s="483">
        <f t="shared" si="8"/>
        <v>0</v>
      </c>
      <c r="U30" s="483">
        <f t="shared" si="8"/>
        <v>0</v>
      </c>
    </row>
    <row r="31" spans="1:21" ht="21.75" customHeight="1">
      <c r="B31" s="88" t="s">
        <v>224</v>
      </c>
      <c r="C31" s="92" t="s">
        <v>225</v>
      </c>
      <c r="D31" s="484">
        <v>12850000</v>
      </c>
      <c r="E31" s="492">
        <v>2006</v>
      </c>
      <c r="F31" s="486">
        <f>'HSZ do złotówek'!AW36</f>
        <v>0</v>
      </c>
      <c r="G31" s="487">
        <f>'HSZ do złotówek'!AZ36</f>
        <v>0</v>
      </c>
      <c r="H31" s="484">
        <f>'HSZ do złotówek'!BC36</f>
        <v>0</v>
      </c>
      <c r="I31" s="488">
        <f>'HSZ do złotówek'!BF36</f>
        <v>0</v>
      </c>
      <c r="J31" s="484">
        <f>'HSZ do złotówek'!BI36</f>
        <v>0</v>
      </c>
      <c r="K31" s="484">
        <f>'HSZ do złotówek'!BL36</f>
        <v>0</v>
      </c>
      <c r="L31" s="484">
        <f>'HSZ do złotówek'!BO36</f>
        <v>0</v>
      </c>
      <c r="M31" s="484">
        <f>'HSZ do złotówek'!BR36</f>
        <v>0</v>
      </c>
      <c r="N31" s="484">
        <f>'HSZ do złotówek'!BU36</f>
        <v>0</v>
      </c>
      <c r="O31" s="484">
        <f>'HSZ do złotówek'!BX36</f>
        <v>0</v>
      </c>
      <c r="P31" s="484">
        <f>'HSZ do złotówek'!CA36</f>
        <v>0</v>
      </c>
      <c r="Q31" s="484">
        <f>'HSZ do złotówek'!CD36</f>
        <v>0</v>
      </c>
      <c r="R31" s="484">
        <f>'HSZ do złotówek'!CG36</f>
        <v>0</v>
      </c>
      <c r="S31" s="484">
        <f>'HSZ do złotówek'!CF36</f>
        <v>0</v>
      </c>
      <c r="T31" s="484">
        <f>'HSZ do złotówek'!CG36</f>
        <v>0</v>
      </c>
      <c r="U31" s="484">
        <f>'HSZ do złotówek'!CH36</f>
        <v>0</v>
      </c>
    </row>
    <row r="32" spans="1:21" ht="24" customHeight="1">
      <c r="B32" s="88" t="s">
        <v>44</v>
      </c>
      <c r="C32" s="92" t="s">
        <v>225</v>
      </c>
      <c r="D32" s="484">
        <v>2000000</v>
      </c>
      <c r="E32" s="492">
        <v>2008</v>
      </c>
      <c r="F32" s="486">
        <f>'HSZ do złotówek'!AW37</f>
        <v>2000000</v>
      </c>
      <c r="G32" s="487">
        <f>'HSZ do złotówek'!AZ37</f>
        <v>0</v>
      </c>
      <c r="H32" s="484">
        <f>'HSZ do złotówek'!BC37</f>
        <v>0</v>
      </c>
      <c r="I32" s="488">
        <f>'HSZ do złotówek'!BF37</f>
        <v>0</v>
      </c>
      <c r="J32" s="484">
        <f>'HSZ do złotówek'!BI37</f>
        <v>0</v>
      </c>
      <c r="K32" s="484">
        <f>'HSZ do złotówek'!BL37</f>
        <v>0</v>
      </c>
      <c r="L32" s="484">
        <f>'HSZ do złotówek'!BO37</f>
        <v>0</v>
      </c>
      <c r="M32" s="484">
        <f>'HSZ do złotówek'!BR37</f>
        <v>0</v>
      </c>
      <c r="N32" s="484">
        <f>'HSZ do złotówek'!BU37</f>
        <v>0</v>
      </c>
      <c r="O32" s="484">
        <f>'HSZ do złotówek'!BX37</f>
        <v>0</v>
      </c>
      <c r="P32" s="484">
        <f>'HSZ do złotówek'!CA37</f>
        <v>0</v>
      </c>
      <c r="Q32" s="484">
        <f>'HSZ do złotówek'!CD37</f>
        <v>0</v>
      </c>
      <c r="R32" s="484">
        <f>'HSZ do złotówek'!CG37</f>
        <v>0</v>
      </c>
      <c r="S32" s="484">
        <f>'HSZ do złotówek'!CF37</f>
        <v>0</v>
      </c>
      <c r="T32" s="484">
        <f>'HSZ do złotówek'!CG37</f>
        <v>0</v>
      </c>
      <c r="U32" s="484">
        <f>'HSZ do złotówek'!CH37</f>
        <v>0</v>
      </c>
    </row>
    <row r="33" spans="1:21" ht="21.75" customHeight="1">
      <c r="B33" s="88" t="s">
        <v>226</v>
      </c>
      <c r="C33" s="92" t="s">
        <v>227</v>
      </c>
      <c r="D33" s="484">
        <v>8900000</v>
      </c>
      <c r="E33" s="492">
        <v>2009</v>
      </c>
      <c r="F33" s="486">
        <f>'HSZ do złotówek'!AW38</f>
        <v>8900000</v>
      </c>
      <c r="G33" s="487">
        <f>'HSZ do złotówek'!AZ38</f>
        <v>3900000</v>
      </c>
      <c r="H33" s="484">
        <f>'HSZ do złotówek'!BC38</f>
        <v>900000</v>
      </c>
      <c r="I33" s="488">
        <f>'HSZ do złotówek'!BF38</f>
        <v>0</v>
      </c>
      <c r="J33" s="484">
        <f>'HSZ do złotówek'!BI38</f>
        <v>0</v>
      </c>
      <c r="K33" s="484">
        <f>'HSZ do złotówek'!BL38</f>
        <v>0</v>
      </c>
      <c r="L33" s="484">
        <f>'HSZ do złotówek'!BO38</f>
        <v>0</v>
      </c>
      <c r="M33" s="484">
        <f>'HSZ do złotówek'!BR38</f>
        <v>0</v>
      </c>
      <c r="N33" s="484">
        <f>'HSZ do złotówek'!BU38</f>
        <v>0</v>
      </c>
      <c r="O33" s="484">
        <f>'HSZ do złotówek'!BX38</f>
        <v>0</v>
      </c>
      <c r="P33" s="484">
        <f>'HSZ do złotówek'!CA38</f>
        <v>0</v>
      </c>
      <c r="Q33" s="484">
        <f>'HSZ do złotówek'!CD38</f>
        <v>0</v>
      </c>
      <c r="R33" s="484">
        <f>'HSZ do złotówek'!CG38</f>
        <v>0</v>
      </c>
      <c r="S33" s="484">
        <f>'HSZ do złotówek'!CF38</f>
        <v>0</v>
      </c>
      <c r="T33" s="484">
        <f>'HSZ do złotówek'!CG38</f>
        <v>0</v>
      </c>
      <c r="U33" s="484">
        <f>'HSZ do złotówek'!CH38</f>
        <v>0</v>
      </c>
    </row>
    <row r="34" spans="1:21" ht="21" customHeight="1">
      <c r="B34" s="88" t="s">
        <v>228</v>
      </c>
      <c r="C34" s="92" t="s">
        <v>229</v>
      </c>
      <c r="D34" s="484">
        <v>16000000</v>
      </c>
      <c r="E34" s="492">
        <v>2010</v>
      </c>
      <c r="F34" s="486">
        <f>'HSZ do złotówek'!AW39</f>
        <v>16000000</v>
      </c>
      <c r="G34" s="487">
        <f>'HSZ do złotówek'!AZ39</f>
        <v>14000000</v>
      </c>
      <c r="H34" s="484">
        <f>'HSZ do złotówek'!BC39</f>
        <v>14000000</v>
      </c>
      <c r="I34" s="488">
        <f>'HSZ do złotówek'!BF39</f>
        <v>11000000</v>
      </c>
      <c r="J34" s="484">
        <f>'HSZ do złotówek'!BI39</f>
        <v>5500000</v>
      </c>
      <c r="K34" s="484">
        <f>'HSZ do złotówek'!BL39</f>
        <v>0</v>
      </c>
      <c r="L34" s="484">
        <f>'HSZ do złotówek'!BO39</f>
        <v>0</v>
      </c>
      <c r="M34" s="484">
        <f>'HSZ do złotówek'!BR39</f>
        <v>0</v>
      </c>
      <c r="N34" s="484">
        <f>'HSZ do złotówek'!BU39</f>
        <v>0</v>
      </c>
      <c r="O34" s="484">
        <f>'HSZ do złotówek'!BX39</f>
        <v>0</v>
      </c>
      <c r="P34" s="484">
        <f>'HSZ do złotówek'!CA39</f>
        <v>0</v>
      </c>
      <c r="Q34" s="484">
        <f>'HSZ do złotówek'!CD39</f>
        <v>0</v>
      </c>
      <c r="R34" s="484">
        <f>'HSZ do złotówek'!CG39</f>
        <v>0</v>
      </c>
      <c r="S34" s="484">
        <f>'HSZ do złotówek'!CF39</f>
        <v>0</v>
      </c>
      <c r="T34" s="484">
        <f>'HSZ do złotówek'!CG39</f>
        <v>0</v>
      </c>
      <c r="U34" s="484">
        <f>'HSZ do złotówek'!CH39</f>
        <v>0</v>
      </c>
    </row>
    <row r="35" spans="1:21" ht="24" customHeight="1">
      <c r="B35" s="88" t="s">
        <v>230</v>
      </c>
      <c r="C35" s="96" t="s">
        <v>231</v>
      </c>
      <c r="D35" s="484">
        <v>10000000</v>
      </c>
      <c r="E35" s="492">
        <v>2011</v>
      </c>
      <c r="F35" s="486">
        <f>'HSZ do złotówek'!AW40</f>
        <v>10000000</v>
      </c>
      <c r="G35" s="487">
        <f>'HSZ do złotówek'!AZ40</f>
        <v>9500000</v>
      </c>
      <c r="H35" s="484">
        <f>'HSZ do złotówek'!BC40</f>
        <v>9000000</v>
      </c>
      <c r="I35" s="488">
        <f>'HSZ do złotówek'!BF40</f>
        <v>9000000</v>
      </c>
      <c r="J35" s="484">
        <f>'HSZ do złotówek'!BI40</f>
        <v>8500000</v>
      </c>
      <c r="K35" s="484">
        <f>'HSZ do złotówek'!BL40</f>
        <v>8000000</v>
      </c>
      <c r="L35" s="484">
        <f>'HSZ do złotówek'!BO40</f>
        <v>4000000</v>
      </c>
      <c r="M35" s="484">
        <f>'HSZ do złotówek'!BR40</f>
        <v>0</v>
      </c>
      <c r="N35" s="484">
        <f>'HSZ do złotówek'!BU40</f>
        <v>0</v>
      </c>
      <c r="O35" s="484">
        <f>'HSZ do złotówek'!BX40</f>
        <v>0</v>
      </c>
      <c r="P35" s="484">
        <f>'HSZ do złotówek'!CA40</f>
        <v>0</v>
      </c>
      <c r="Q35" s="484">
        <f>'HSZ do złotówek'!CD40</f>
        <v>0</v>
      </c>
      <c r="R35" s="484">
        <f>'HSZ do złotówek'!CG40</f>
        <v>0</v>
      </c>
      <c r="S35" s="484">
        <f>'HSZ do złotówek'!CF40</f>
        <v>0</v>
      </c>
      <c r="T35" s="484">
        <f>'HSZ do złotówek'!CG40</f>
        <v>0</v>
      </c>
      <c r="U35" s="484">
        <f>'HSZ do złotówek'!CH40</f>
        <v>0</v>
      </c>
    </row>
    <row r="36" spans="1:21" ht="32.25" customHeight="1">
      <c r="B36" s="855" t="s">
        <v>239</v>
      </c>
      <c r="C36" s="893" t="s">
        <v>449</v>
      </c>
      <c r="D36" s="851">
        <v>9000000</v>
      </c>
      <c r="E36" s="856">
        <v>2012</v>
      </c>
      <c r="F36" s="852">
        <f>'HSZ do złotówek'!AW44</f>
        <v>9000000</v>
      </c>
      <c r="G36" s="853">
        <f>'HSZ do złotówek'!AZ44</f>
        <v>9000000</v>
      </c>
      <c r="H36" s="851">
        <f>'HSZ do złotówek'!BC44</f>
        <v>9000000</v>
      </c>
      <c r="I36" s="854">
        <f>'HSZ do złotówek'!BF44</f>
        <v>9000000</v>
      </c>
      <c r="J36" s="851">
        <f>'HSZ do złotówek'!BI44</f>
        <v>9000000</v>
      </c>
      <c r="K36" s="851">
        <f>'HSZ do złotówek'!BL44</f>
        <v>9000000</v>
      </c>
      <c r="L36" s="851">
        <f>'HSZ do złotówek'!BO44</f>
        <v>7000000</v>
      </c>
      <c r="M36" s="851">
        <f>'HSZ do złotówek'!BR44</f>
        <v>4000000</v>
      </c>
      <c r="N36" s="851">
        <f>'HSZ do złotówek'!BU44</f>
        <v>0</v>
      </c>
      <c r="O36" s="851">
        <f>'HSZ do złotówek'!BX44</f>
        <v>0</v>
      </c>
      <c r="P36" s="851">
        <f>'HSZ do złotówek'!CA44</f>
        <v>0</v>
      </c>
      <c r="Q36" s="851">
        <f>'HSZ do złotówek'!CD42</f>
        <v>0</v>
      </c>
      <c r="R36" s="851">
        <f>'HSZ do złotówek'!CG42</f>
        <v>0</v>
      </c>
      <c r="S36" s="851">
        <f>'HSZ do złotówek'!CF42</f>
        <v>0</v>
      </c>
      <c r="T36" s="851">
        <f>'HSZ do złotówek'!CG42</f>
        <v>0</v>
      </c>
      <c r="U36" s="851">
        <f>'HSZ do złotówek'!CH42</f>
        <v>0</v>
      </c>
    </row>
    <row r="37" spans="1:21">
      <c r="B37" s="89"/>
      <c r="C37" s="89"/>
      <c r="D37" s="89"/>
      <c r="E37" s="870"/>
      <c r="F37" s="865"/>
      <c r="G37" s="86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57"/>
      <c r="S37" s="857"/>
      <c r="T37" s="857"/>
      <c r="U37" s="857"/>
    </row>
    <row r="38" spans="1:21" ht="32.25" customHeight="1">
      <c r="B38" s="862" t="s">
        <v>240</v>
      </c>
      <c r="C38" s="882" t="s">
        <v>450</v>
      </c>
      <c r="D38" s="858">
        <v>11300000</v>
      </c>
      <c r="E38" s="897">
        <v>2013</v>
      </c>
      <c r="F38" s="859"/>
      <c r="G38" s="860">
        <f>'HSZ do złotówek'!AZ46</f>
        <v>11300000</v>
      </c>
      <c r="H38" s="858">
        <f>'HSZ do złotówek'!BC46</f>
        <v>11300000</v>
      </c>
      <c r="I38" s="861">
        <f>'HSZ do złotówek'!BF46</f>
        <v>11300000</v>
      </c>
      <c r="J38" s="858">
        <f>'HSZ do złotówek'!BI46</f>
        <v>11300000</v>
      </c>
      <c r="K38" s="858">
        <f>'HSZ do złotówek'!BL46</f>
        <v>11300000</v>
      </c>
      <c r="L38" s="858">
        <f>SUM('HSZ do złotówek'!BO46)</f>
        <v>11300000</v>
      </c>
      <c r="M38" s="858">
        <f>SUM('HSZ do złotówek'!BR46)</f>
        <v>11300000</v>
      </c>
      <c r="N38" s="858">
        <f>SUM('HSZ do złotówek'!BU46)</f>
        <v>10000000</v>
      </c>
      <c r="O38" s="858">
        <f>SUM('HSZ do złotówek'!BX46)</f>
        <v>6000000</v>
      </c>
      <c r="P38" s="858">
        <f>SUM('HSZ do złotówek'!CA46)</f>
        <v>0</v>
      </c>
      <c r="Q38" s="858">
        <f>SUM('HSZ do złotówek'!CD46)</f>
        <v>0</v>
      </c>
      <c r="R38" s="858">
        <f>SUM('HSZ do złotówek'!CG46)</f>
        <v>0</v>
      </c>
      <c r="S38" s="858">
        <f>SUM('HSZ do złotówek'!CJ46)</f>
        <v>0</v>
      </c>
      <c r="T38" s="858">
        <f>SUM('HSZ do złotówek'!CM46)</f>
        <v>0</v>
      </c>
      <c r="U38" s="858">
        <f>SUM('HSZ do złotówek'!CP46)</f>
        <v>0</v>
      </c>
    </row>
    <row r="39" spans="1:21" ht="22.5" customHeight="1">
      <c r="B39" s="88"/>
      <c r="C39" s="881" t="s">
        <v>232</v>
      </c>
      <c r="D39" s="896" t="s">
        <v>241</v>
      </c>
      <c r="E39" s="863"/>
      <c r="F39" s="871"/>
      <c r="G39" s="888"/>
      <c r="H39" s="889">
        <f>'HSZ do złotówek'!BC47</f>
        <v>0</v>
      </c>
      <c r="I39" s="889">
        <f>'HSZ do złotówek'!BF47+'HSZ do złotówek'!BF48</f>
        <v>0</v>
      </c>
      <c r="J39" s="889">
        <f>'HSZ do złotówek'!BI47+'HSZ do złotówek'!BI48+'HSZ do złotówek'!BI49</f>
        <v>0</v>
      </c>
      <c r="K39" s="889">
        <f>'HSZ do złotówek'!BL47+'HSZ do złotówek'!BL48+'HSZ do złotówek'!BL49+'HSZ do złotówek'!BL50</f>
        <v>243402</v>
      </c>
      <c r="L39" s="889">
        <f>SUM('HSZ do złotówek'!BO47:BO51)</f>
        <v>335809</v>
      </c>
      <c r="M39" s="889">
        <f>SUM('HSZ do złotówek'!BR47:BR52)</f>
        <v>1231398</v>
      </c>
      <c r="N39" s="889">
        <f>SUM('HSZ do złotówek'!BU47:BU53)</f>
        <v>1231398</v>
      </c>
      <c r="O39" s="889">
        <f>SUM('HSZ do złotówek'!BX47:BX54)</f>
        <v>987996</v>
      </c>
      <c r="P39" s="889">
        <f>SUM('HSZ do złotówek'!CA47:CA57)</f>
        <v>2163242</v>
      </c>
      <c r="Q39" s="889">
        <f>SUM('HSZ do złotówek'!CD47:CD57)</f>
        <v>1267653</v>
      </c>
      <c r="R39" s="890">
        <f>SUM('HSZ do złotówek'!CG47:CG57)</f>
        <v>0</v>
      </c>
      <c r="S39" s="890">
        <f>SUM('HSZ do złotówek'!CJ47:CJ57)</f>
        <v>0</v>
      </c>
      <c r="T39" s="890">
        <f>SUM('HSZ do złotówek'!CM47:CM57)</f>
        <v>0</v>
      </c>
      <c r="U39" s="890">
        <f>SUM('HSZ do złotówek'!CP47:CP57)</f>
        <v>0</v>
      </c>
    </row>
    <row r="40" spans="1:21" ht="45" customHeight="1">
      <c r="A40" s="94"/>
      <c r="B40" s="95" t="s">
        <v>233</v>
      </c>
      <c r="C40" s="874" t="s">
        <v>234</v>
      </c>
      <c r="D40" s="904"/>
      <c r="E40" s="905"/>
      <c r="F40" s="876">
        <f>F30+F26+F8</f>
        <v>48110961</v>
      </c>
      <c r="G40" s="877">
        <f t="shared" ref="G40" si="9">G30+G26+G8-2</f>
        <v>61217410</v>
      </c>
      <c r="H40" s="875">
        <f t="shared" ref="H40:Q40" si="10">H30+H26+H8</f>
        <v>65813971</v>
      </c>
      <c r="I40" s="875">
        <f t="shared" si="10"/>
        <v>60862438</v>
      </c>
      <c r="J40" s="875">
        <f t="shared" si="10"/>
        <v>52889724</v>
      </c>
      <c r="K40" s="875">
        <f t="shared" si="10"/>
        <v>45189724</v>
      </c>
      <c r="L40" s="875">
        <f t="shared" si="10"/>
        <v>37389724</v>
      </c>
      <c r="M40" s="875">
        <f t="shared" si="10"/>
        <v>29489724</v>
      </c>
      <c r="N40" s="875">
        <f t="shared" si="10"/>
        <v>22414478</v>
      </c>
      <c r="O40" s="875">
        <f t="shared" si="10"/>
        <v>16395830</v>
      </c>
      <c r="P40" s="875">
        <f t="shared" si="10"/>
        <v>9795830</v>
      </c>
      <c r="Q40" s="875">
        <f t="shared" si="10"/>
        <v>7124995</v>
      </c>
      <c r="R40" s="875">
        <f t="shared" ref="R40:S40" si="11">R30+R26+R8</f>
        <v>4082096</v>
      </c>
      <c r="S40" s="875">
        <f t="shared" si="11"/>
        <v>2307692</v>
      </c>
      <c r="T40" s="875">
        <f t="shared" ref="T40" si="12">T30+T26+T8</f>
        <v>1153846</v>
      </c>
      <c r="U40" s="875">
        <f t="shared" ref="U40" si="13">U30+U26+U8</f>
        <v>0</v>
      </c>
    </row>
    <row r="41" spans="1:21" ht="40.5" customHeight="1">
      <c r="B41" s="85">
        <v>5</v>
      </c>
      <c r="C41" s="97" t="s">
        <v>235</v>
      </c>
      <c r="D41" s="491"/>
      <c r="E41" s="491"/>
      <c r="F41" s="482">
        <f>'WPF styczeń 2013'!H8</f>
        <v>165709149.59</v>
      </c>
      <c r="G41" s="483">
        <f>'WPF styczeń 2013'!I8</f>
        <v>209929240</v>
      </c>
      <c r="H41" s="480">
        <f>'WPF styczeń 2013'!J8</f>
        <v>208947156.42000002</v>
      </c>
      <c r="I41" s="480">
        <f>'WPF styczeń 2013'!K8</f>
        <v>177500000</v>
      </c>
      <c r="J41" s="480">
        <f>'WPF styczeń 2013'!L8</f>
        <v>181100000</v>
      </c>
      <c r="K41" s="480">
        <f>'WPF styczeń 2013'!M8</f>
        <v>185600000</v>
      </c>
      <c r="L41" s="480">
        <f>'WPF styczeń 2013'!N8</f>
        <v>191100000</v>
      </c>
      <c r="M41" s="480">
        <f>'WPF styczeń 2013'!O8</f>
        <v>193700000</v>
      </c>
      <c r="N41" s="480">
        <f>'WPF styczeń 2013'!P8</f>
        <v>197400000</v>
      </c>
      <c r="O41" s="480">
        <f>'WPF styczeń 2013'!Q8</f>
        <v>201200000</v>
      </c>
      <c r="P41" s="480">
        <f>'WPF styczeń 2013'!R8</f>
        <v>204000000</v>
      </c>
      <c r="Q41" s="480">
        <f>'WPF styczeń 2013'!S8</f>
        <v>204900000</v>
      </c>
      <c r="R41" s="480">
        <f>'WPF styczeń 2013'!T8</f>
        <v>204900000</v>
      </c>
      <c r="S41" s="480">
        <f>'WPF styczeń 2013'!U8</f>
        <v>203900000</v>
      </c>
      <c r="T41" s="480">
        <f>'WPF styczeń 2013'!V8</f>
        <v>203900000</v>
      </c>
      <c r="U41" s="480">
        <f>'WPF styczeń 2013'!W8</f>
        <v>203900000</v>
      </c>
    </row>
    <row r="42" spans="1:21" ht="51">
      <c r="B42" s="85">
        <v>6</v>
      </c>
      <c r="C42" s="86" t="s">
        <v>236</v>
      </c>
      <c r="D42" s="98"/>
      <c r="E42" s="98"/>
      <c r="F42" s="99">
        <f t="shared" ref="F42:P42" si="14">ROUND((F40/F41*100),2)</f>
        <v>29.03</v>
      </c>
      <c r="G42" s="100">
        <f t="shared" si="14"/>
        <v>29.16</v>
      </c>
      <c r="H42" s="101">
        <f t="shared" si="14"/>
        <v>31.5</v>
      </c>
      <c r="I42" s="101">
        <f t="shared" si="14"/>
        <v>34.29</v>
      </c>
      <c r="J42" s="101">
        <f t="shared" si="14"/>
        <v>29.2</v>
      </c>
      <c r="K42" s="101">
        <f t="shared" si="14"/>
        <v>24.35</v>
      </c>
      <c r="L42" s="101">
        <f t="shared" si="14"/>
        <v>19.57</v>
      </c>
      <c r="M42" s="101">
        <f t="shared" si="14"/>
        <v>15.22</v>
      </c>
      <c r="N42" s="101">
        <f t="shared" si="14"/>
        <v>11.35</v>
      </c>
      <c r="O42" s="101">
        <f t="shared" si="14"/>
        <v>8.15</v>
      </c>
      <c r="P42" s="101">
        <f t="shared" si="14"/>
        <v>4.8</v>
      </c>
      <c r="Q42" s="101">
        <f t="shared" ref="Q42:S42" si="15">ROUND((Q40/Q41*100),2)</f>
        <v>3.48</v>
      </c>
      <c r="R42" s="101">
        <f t="shared" si="15"/>
        <v>1.99</v>
      </c>
      <c r="S42" s="101">
        <f t="shared" si="15"/>
        <v>1.1299999999999999</v>
      </c>
      <c r="T42" s="101">
        <f t="shared" ref="T42" si="16">ROUND((T40/T41*100),2)</f>
        <v>0.56999999999999995</v>
      </c>
      <c r="U42" s="101">
        <f t="shared" ref="U42" si="17">ROUND((U40/U41*100),2)</f>
        <v>0</v>
      </c>
    </row>
    <row r="43" spans="1:21">
      <c r="A43" s="102"/>
      <c r="B43" s="103"/>
      <c r="C43" s="104"/>
      <c r="D43" s="105"/>
      <c r="E43" s="872"/>
      <c r="F43" s="106"/>
      <c r="G43" s="873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892"/>
    </row>
    <row r="44" spans="1:21" ht="77.25" thickBot="1">
      <c r="B44" s="107">
        <v>7</v>
      </c>
      <c r="C44" s="108" t="s">
        <v>237</v>
      </c>
      <c r="D44" s="109"/>
      <c r="E44" s="109"/>
      <c r="F44" s="110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t="13.5" thickTop="1">
      <c r="A45" s="102"/>
      <c r="B45" s="113"/>
      <c r="C45" s="114"/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02"/>
    </row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password="CC56" sheet="1" objects="1" scenarios="1"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8">
    <mergeCell ref="C21:E21"/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18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5001.4672909090923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5001.47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5001.47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5001.47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5001.47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5001.47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5001.47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5001.47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5001.47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5001.47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groszy'!K55</f>
        <v>0</v>
      </c>
      <c r="Q14" s="2147"/>
      <c r="R14" s="2147"/>
      <c r="S14" s="2147"/>
      <c r="T14" s="2148">
        <f>ROUND(IPMT(($AA$3%+0.35%)/11,1,$D$171-$D$4+1,$P$172-(SUM($P$4:P13)))*-1,2)</f>
        <v>5001.47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5001.47</v>
      </c>
      <c r="U15" s="2116"/>
      <c r="V15" s="2116"/>
      <c r="W15" s="2116"/>
      <c r="Y15" s="474">
        <f>SUM(T4:W15)</f>
        <v>60017.637290909101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5001.47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5001.47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5001.47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5001.47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5001.47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5001.47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5001.47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5001.47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5001.47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5001.47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groszy'!M55</f>
        <v>0</v>
      </c>
      <c r="Q26" s="2147"/>
      <c r="R26" s="2147"/>
      <c r="S26" s="2147"/>
      <c r="T26" s="2148">
        <f>ROUND(IPMT(($AA$3%+0.35%)/11,1,$D$171-$D$16+1,$P$172-(SUM($P$4:P25)))*-1,2)</f>
        <v>5001.47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5001.47</v>
      </c>
      <c r="U27" s="2116"/>
      <c r="V27" s="2116"/>
      <c r="W27" s="2116"/>
      <c r="Y27" s="474">
        <f>SUM(T16:W27)</f>
        <v>60017.640000000007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5001.47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5001.47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5001.47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5001.47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5001.47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5001.47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5001.47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5001.47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5001.47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5001.47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groszy'!O55</f>
        <v>0</v>
      </c>
      <c r="Q38" s="2147"/>
      <c r="R38" s="2147"/>
      <c r="S38" s="2147"/>
      <c r="T38" s="2148">
        <f>ROUND(IPMT(($AA$3%+0.35%)/11,1,$D$171-$D$28+1,$P$172-(SUM($P$4:P37)))*-1,2)</f>
        <v>5001.47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5001.47</v>
      </c>
      <c r="U39" s="2116"/>
      <c r="V39" s="2116"/>
      <c r="W39" s="2116"/>
      <c r="Y39" s="474">
        <f>SUM(T28:W39)</f>
        <v>60017.640000000007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5001.47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5001.47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5001.47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5001.47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5001.47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5001.47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5001.47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5001.47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5001.47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5001.47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groszy'!Q55</f>
        <v>0</v>
      </c>
      <c r="Q50" s="2147"/>
      <c r="R50" s="2147"/>
      <c r="S50" s="2147"/>
      <c r="T50" s="2148">
        <f>ROUND(IPMT(($AA$3%+0.35%)/11,1,$D$171-$D$40+1,$P$172-(SUM($P$4:P49)))*-1,2)</f>
        <v>5001.47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5001.47</v>
      </c>
      <c r="U51" s="2116"/>
      <c r="V51" s="2116"/>
      <c r="W51" s="2116"/>
      <c r="Y51" s="474">
        <f>SUM(T40:W51)</f>
        <v>60017.640000000007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5001.47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5001.47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5001.47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5001.47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5001.47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5001.47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5001.47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5001.47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5001.47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5001.47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groszy'!S55</f>
        <v>0</v>
      </c>
      <c r="Q62" s="2147"/>
      <c r="R62" s="2147"/>
      <c r="S62" s="2147"/>
      <c r="T62" s="2148">
        <f>ROUND(IPMT(($AA$3%+0.35%)/11,1,$D$171-$D$52+1,$P$172-(SUM($P$4:P61)))*-1,2)</f>
        <v>5001.47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5001.47</v>
      </c>
      <c r="U63" s="2116"/>
      <c r="V63" s="2116"/>
      <c r="W63" s="2116"/>
      <c r="Y63" s="474">
        <f>SUM(T52:W63)</f>
        <v>60017.640000000007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5001.47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5001.47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5001.47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5001.47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5001.47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5001.47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5001.47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5001.47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5001.47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5001.47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groszy'!U55</f>
        <v>0</v>
      </c>
      <c r="Q74" s="2147"/>
      <c r="R74" s="2147"/>
      <c r="S74" s="2147"/>
      <c r="T74" s="2148">
        <f>ROUND(IPMT(($AA$3%+0.35%)/11,1,$D$171-$D$64+1,$P$172-(SUM($P$4:P73)))*-1,2)</f>
        <v>5001.47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5001.47</v>
      </c>
      <c r="U75" s="2116"/>
      <c r="V75" s="2116"/>
      <c r="W75" s="2116"/>
      <c r="Y75" s="474">
        <f>SUM(T64:W75)</f>
        <v>60017.640000000007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5001.47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5001.47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5001.47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5001.47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5001.47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5001.47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5001.47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5001.47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5001.47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5001.47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groszy'!W55</f>
        <v>0</v>
      </c>
      <c r="Q86" s="2147"/>
      <c r="R86" s="2147"/>
      <c r="S86" s="2147"/>
      <c r="T86" s="2148">
        <f>ROUND(IPMT(($AA$3%+0.35%)/11,1,$D$171-$D$76+1,$P$172-(SUM($P$4:P85)))*-1,2)</f>
        <v>5001.47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5001.47</v>
      </c>
      <c r="U87" s="2116"/>
      <c r="V87" s="2116"/>
      <c r="W87" s="2116"/>
      <c r="Y87" s="474">
        <f>SUM(T76:W87)</f>
        <v>60017.640000000007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5001.47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5001.47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5001.47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5001.47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5001.47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5001.47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5001.47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5001.47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5001.47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5001.47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groszy'!Y55</f>
        <v>0</v>
      </c>
      <c r="Q98" s="2147"/>
      <c r="R98" s="2147"/>
      <c r="S98" s="2147"/>
      <c r="T98" s="2148">
        <f>ROUND(IPMT(($AA$3%+0.35%)/11,1,$D$171-$D$88+1,$P$172-(SUM($P$4:P97)))*-1,2)</f>
        <v>5001.47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5001.47</v>
      </c>
      <c r="U99" s="2116"/>
      <c r="V99" s="2116"/>
      <c r="W99" s="2116"/>
      <c r="Y99" s="474">
        <f>SUM(T88:W99)</f>
        <v>60017.640000000007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5001.47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5001.47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5001.47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5001.47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5001.47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5001.47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5001.47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5001.47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5001.47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5001.47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groszy'!AA55</f>
        <v>0</v>
      </c>
      <c r="Q110" s="2147"/>
      <c r="R110" s="2147"/>
      <c r="S110" s="2147"/>
      <c r="T110" s="2148">
        <f>ROUND(IPMT(($AA$3%+0.35%)/11,1,$D$171-$D$160+1,$P$172-(SUM($P$4:P109)))*-1,2)</f>
        <v>5001.47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5001.47</v>
      </c>
      <c r="U111" s="2111"/>
      <c r="V111" s="2111"/>
      <c r="W111" s="2111"/>
      <c r="Y111" s="474">
        <f>SUM(T100:W111)</f>
        <v>60017.640000000007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5001.47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5001.47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5001.47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5001.47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5001.47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5001.47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5001.47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5001.47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5001.47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5001.47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groszy'!AC55</f>
        <v>0</v>
      </c>
      <c r="Q122" s="2147"/>
      <c r="R122" s="2147"/>
      <c r="S122" s="2147"/>
      <c r="T122" s="2148">
        <f>ROUND(IPMT(($AA$3%+0.35%)/11,1,$D$171-$D$160+1,$P$172-(SUM($P$4:P121)))*-1,2)</f>
        <v>5001.47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5001.47</v>
      </c>
      <c r="U123" s="2111"/>
      <c r="V123" s="2111"/>
      <c r="W123" s="2111"/>
      <c r="Y123" s="474">
        <f>SUM(T112:W123)</f>
        <v>60017.640000000007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5001.47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5001.47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5001.47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5001.47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5001.47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5001.47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5001.47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5001.47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5001.47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5001.47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groszy'!AE55</f>
        <v>1267653</v>
      </c>
      <c r="Q134" s="2147"/>
      <c r="R134" s="2147"/>
      <c r="S134" s="2147"/>
      <c r="T134" s="2148">
        <f>ROUND(IPMT(($AA$3%+0.35%)/11,1,$D$171-$D$160+1,$P$172-(SUM($P$4:P133)))*-1,2)</f>
        <v>5001.47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55016.170000000006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groszy'!AG55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1267653</v>
      </c>
      <c r="Q172" s="2121"/>
      <c r="R172" s="2121"/>
      <c r="S172" s="2122"/>
      <c r="T172" s="2123">
        <f>SUM(T4:T171)</f>
        <v>655192.56729090703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12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v>4.99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3.99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0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0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0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0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0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0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0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0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0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0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groszy'!K56</f>
        <v>0</v>
      </c>
      <c r="Q14" s="2147"/>
      <c r="R14" s="2147"/>
      <c r="S14" s="2147"/>
      <c r="T14" s="2148">
        <f>ROUND(IPMT(($AA$3%+0.35%)/11,1,$D$171-$D$4+1,$P$172-(SUM($P$4:P13)))*-1,2)</f>
        <v>0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0</v>
      </c>
      <c r="U15" s="2116"/>
      <c r="V15" s="2116"/>
      <c r="W15" s="2116"/>
      <c r="Y15" s="474">
        <f>SUM(T4:W15)</f>
        <v>0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0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0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0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0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0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0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0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0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0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0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groszy'!M56</f>
        <v>0</v>
      </c>
      <c r="Q26" s="2147"/>
      <c r="R26" s="2147"/>
      <c r="S26" s="2147"/>
      <c r="T26" s="2148">
        <f>ROUND(IPMT(($AA$3%+0.35%)/11,1,$D$171-$D$16+1,$P$172-(SUM($P$4:P25)))*-1,2)</f>
        <v>0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0</v>
      </c>
      <c r="U27" s="2116"/>
      <c r="V27" s="2116"/>
      <c r="W27" s="2116"/>
      <c r="Y27" s="474">
        <f>SUM(T16:W27)</f>
        <v>0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0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0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0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0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0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0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0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0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0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0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groszy'!O56</f>
        <v>0</v>
      </c>
      <c r="Q38" s="2147"/>
      <c r="R38" s="2147"/>
      <c r="S38" s="2147"/>
      <c r="T38" s="2148">
        <f>ROUND(IPMT(($AA$3%+0.35%)/11,1,$D$171-$D$28+1,$P$172-(SUM($P$4:P37)))*-1,2)</f>
        <v>0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0</v>
      </c>
      <c r="U39" s="2116"/>
      <c r="V39" s="2116"/>
      <c r="W39" s="2116"/>
      <c r="Y39" s="474">
        <f>SUM(T28:W39)</f>
        <v>0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0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0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0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0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0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0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0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0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0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0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groszy'!Q56</f>
        <v>0</v>
      </c>
      <c r="Q50" s="2147"/>
      <c r="R50" s="2147"/>
      <c r="S50" s="2147"/>
      <c r="T50" s="2148">
        <f>ROUND(IPMT(($AA$3%+0.35%)/11,1,$D$171-$D$40+1,$P$172-(SUM($P$4:P49)))*-1,2)</f>
        <v>0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0</v>
      </c>
      <c r="U51" s="2116"/>
      <c r="V51" s="2116"/>
      <c r="W51" s="2116"/>
      <c r="Y51" s="474">
        <f>SUM(T40:W51)</f>
        <v>0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0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0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0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0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0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0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0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0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0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0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groszy'!S56</f>
        <v>0</v>
      </c>
      <c r="Q62" s="2147"/>
      <c r="R62" s="2147"/>
      <c r="S62" s="2147"/>
      <c r="T62" s="2148">
        <f>ROUND(IPMT(($AA$3%+0.35%)/11,1,$D$171-$D$52+1,$P$172-(SUM($P$4:P61)))*-1,2)</f>
        <v>0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0</v>
      </c>
      <c r="U63" s="2116"/>
      <c r="V63" s="2116"/>
      <c r="W63" s="2116"/>
      <c r="Y63" s="474">
        <f>SUM(T52:W63)</f>
        <v>0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0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0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0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0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0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0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0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0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0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0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groszy'!U56</f>
        <v>0</v>
      </c>
      <c r="Q74" s="2147"/>
      <c r="R74" s="2147"/>
      <c r="S74" s="2147"/>
      <c r="T74" s="2148">
        <f>ROUND(IPMT(($AA$3%+0.35%)/11,1,$D$171-$D$64+1,$P$172-(SUM($P$4:P73)))*-1,2)</f>
        <v>0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0</v>
      </c>
      <c r="U75" s="2116"/>
      <c r="V75" s="2116"/>
      <c r="W75" s="2116"/>
      <c r="Y75" s="474">
        <f>SUM(T64:W75)</f>
        <v>0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0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0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0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0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0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0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0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0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0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0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groszy'!W56</f>
        <v>0</v>
      </c>
      <c r="Q86" s="2147"/>
      <c r="R86" s="2147"/>
      <c r="S86" s="2147"/>
      <c r="T86" s="2148">
        <f>ROUND(IPMT(($AA$3%+0.35%)/11,1,$D$171-$D$76+1,$P$172-(SUM($P$4:P85)))*-1,2)</f>
        <v>0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0</v>
      </c>
      <c r="U87" s="2116"/>
      <c r="V87" s="2116"/>
      <c r="W87" s="2116"/>
      <c r="Y87" s="474">
        <f>SUM(T76:W87)</f>
        <v>0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0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0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0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0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0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0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0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0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0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0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groszy'!Y56</f>
        <v>0</v>
      </c>
      <c r="Q98" s="2147"/>
      <c r="R98" s="2147"/>
      <c r="S98" s="2147"/>
      <c r="T98" s="2148">
        <f>ROUND(IPMT(($AA$3%+0.35%)/11,1,$D$171-$D$88+1,$P$172-(SUM($P$4:P97)))*-1,2)</f>
        <v>0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0</v>
      </c>
      <c r="U99" s="2116"/>
      <c r="V99" s="2116"/>
      <c r="W99" s="2116"/>
      <c r="Y99" s="474">
        <f>SUM(T88:W99)</f>
        <v>0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0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0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0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0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0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0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0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0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0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0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groszy'!AA56</f>
        <v>0</v>
      </c>
      <c r="Q110" s="2147"/>
      <c r="R110" s="2147"/>
      <c r="S110" s="2147"/>
      <c r="T110" s="2148">
        <f>ROUND(IPMT(($AA$3%+0.35%)/11,1,$D$171-$D$160+1,$P$172-(SUM($P$4:P109)))*-1,2)</f>
        <v>0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0</v>
      </c>
      <c r="U111" s="2111"/>
      <c r="V111" s="2111"/>
      <c r="W111" s="2111"/>
      <c r="Y111" s="474">
        <f>SUM(T100:W111)</f>
        <v>0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0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0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0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0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0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0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0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0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0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0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groszy'!AC56</f>
        <v>0</v>
      </c>
      <c r="Q122" s="2147"/>
      <c r="R122" s="2147"/>
      <c r="S122" s="2147"/>
      <c r="T122" s="2148">
        <f>ROUND(IPMT(($AA$3%+0.35%)/11,1,$D$171-$D$160+1,$P$172-(SUM($P$4:P121)))*-1,2)</f>
        <v>0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0</v>
      </c>
      <c r="U123" s="2111"/>
      <c r="V123" s="2111"/>
      <c r="W123" s="2111"/>
      <c r="Y123" s="474">
        <f>SUM(T112:W123)</f>
        <v>0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0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0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0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0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0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0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0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0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0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0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groszy'!AE56</f>
        <v>0</v>
      </c>
      <c r="Q134" s="2147"/>
      <c r="R134" s="2147"/>
      <c r="S134" s="2147"/>
      <c r="T134" s="2148">
        <f>ROUND(IPMT(($AA$3%+0.35%)/11,1,$D$171-$D$160+1,$P$172-(SUM($P$4:P133)))*-1,2)</f>
        <v>0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0</v>
      </c>
      <c r="U135" s="2111"/>
      <c r="V135" s="2111"/>
      <c r="W135" s="2111"/>
      <c r="Y135" s="474">
        <f>SUM(T124:W135)</f>
        <v>0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0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0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0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0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0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0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0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0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0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0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groszy'!AG56</f>
        <v>0</v>
      </c>
      <c r="Q146" s="2147"/>
      <c r="R146" s="2147"/>
      <c r="S146" s="2147"/>
      <c r="T146" s="2148">
        <f>ROUND(IPMT(($AA$3%+0.35%)/11,1,$D$171-$D$160+1,$P$172-(SUM($P$4:P145)))*-1,2)</f>
        <v>0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0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f>'HSZ do groszy'!AS56</f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f>'HSZ do groszy'!AT56</f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0</v>
      </c>
      <c r="Q172" s="2121"/>
      <c r="R172" s="2121"/>
      <c r="S172" s="2122"/>
      <c r="T172" s="2123">
        <f>SUM(T4:T171)</f>
        <v>0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0" workbookViewId="0">
      <selection activeCell="Y147" sqref="Y147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f>4.75+3</f>
        <v>7.75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6.75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14750.676000000001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14750.68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14750.68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14750.68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14750.68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14750.68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14750.68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14750.68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14750.68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14750.68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v>0</v>
      </c>
      <c r="Q14" s="2147"/>
      <c r="R14" s="2147"/>
      <c r="S14" s="2147"/>
      <c r="T14" s="2148">
        <f>ROUND(IPMT(($AA$3%+0.35%)/11,1,$D$171-$D$4+1,$P$172-(SUM($P$4:P13)))*-1,2)</f>
        <v>14750.68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14750.68</v>
      </c>
      <c r="U15" s="2116"/>
      <c r="V15" s="2116"/>
      <c r="W15" s="2116"/>
      <c r="Y15" s="474">
        <f>SUM(T4:W15)</f>
        <v>177008.15599999996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14750.68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14750.68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14750.68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14750.68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14750.68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14750.68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14750.68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14750.68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14750.68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14750.68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v>0</v>
      </c>
      <c r="Q26" s="2147"/>
      <c r="R26" s="2147"/>
      <c r="S26" s="2147"/>
      <c r="T26" s="2148">
        <f>ROUND(IPMT(($AA$3%+0.35%)/11,1,$D$171-$D$16+1,$P$172-(SUM($P$4:P25)))*-1,2)</f>
        <v>14750.68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14750.68</v>
      </c>
      <c r="U27" s="2116"/>
      <c r="V27" s="2116"/>
      <c r="W27" s="2116"/>
      <c r="Y27" s="474">
        <f>SUM(T16:W27)</f>
        <v>177008.15999999995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14750.68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14750.68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14750.68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14750.68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14750.68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14750.68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14750.68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14750.68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14750.68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14750.68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v>228532</v>
      </c>
      <c r="Q38" s="2147"/>
      <c r="R38" s="2147"/>
      <c r="S38" s="2147"/>
      <c r="T38" s="2148">
        <f>ROUND(IPMT(($AA$3%+0.35%)/11,1,$D$171-$D$28+1,$P$172-(SUM($P$4:P37)))*-1,2)</f>
        <v>14750.68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13275.61</v>
      </c>
      <c r="U39" s="2116"/>
      <c r="V39" s="2116"/>
      <c r="W39" s="2116"/>
      <c r="Y39" s="474">
        <f>SUM(T28:W39)</f>
        <v>175533.08999999997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13275.61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13275.61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13275.61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13275.61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13275.61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13275.61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13275.61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13275.61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13275.61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13275.61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v>228532</v>
      </c>
      <c r="Q50" s="2147"/>
      <c r="R50" s="2147"/>
      <c r="S50" s="2147"/>
      <c r="T50" s="2148">
        <f>ROUND(IPMT(($AA$3%+0.35%)/11,1,$D$171-$D$40+1,$P$172-(SUM($P$4:P49)))*-1,2)</f>
        <v>13275.61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11800.54</v>
      </c>
      <c r="U51" s="2116"/>
      <c r="V51" s="2116"/>
      <c r="W51" s="2116"/>
      <c r="Y51" s="474">
        <f>SUM(T40:W51)</f>
        <v>157832.25000000003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11800.54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11800.54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11800.54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11800.54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11800.54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11800.54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11800.54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11800.54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11800.54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11800.54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v>228532</v>
      </c>
      <c r="Q62" s="2147"/>
      <c r="R62" s="2147"/>
      <c r="S62" s="2147"/>
      <c r="T62" s="2148">
        <f>ROUND(IPMT(($AA$3%+0.35%)/11,1,$D$171-$D$52+1,$P$172-(SUM($P$4:P61)))*-1,2)</f>
        <v>11800.54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10325.469999999999</v>
      </c>
      <c r="U63" s="2116"/>
      <c r="V63" s="2116"/>
      <c r="W63" s="2116"/>
      <c r="Y63" s="474">
        <f>SUM(T52:W63)</f>
        <v>140131.41000000003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10325.469999999999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10325.469999999999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10325.469999999999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10325.469999999999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10325.469999999999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10325.469999999999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10325.469999999999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10325.469999999999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10325.469999999999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10325.469999999999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v>228532</v>
      </c>
      <c r="Q74" s="2147"/>
      <c r="R74" s="2147"/>
      <c r="S74" s="2147"/>
      <c r="T74" s="2148">
        <f>ROUND(IPMT(($AA$3%+0.35%)/11,1,$D$171-$D$64+1,$P$172-(SUM($P$4:P73)))*-1,2)</f>
        <v>10325.469999999999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8850.4</v>
      </c>
      <c r="U75" s="2116"/>
      <c r="V75" s="2116"/>
      <c r="W75" s="2116"/>
      <c r="Y75" s="474">
        <f>SUM(T64:W75)</f>
        <v>122430.56999999999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8850.4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8850.4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8850.4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8850.4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8850.4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8850.4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8850.4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8850.4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8850.4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8850.4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v>228532</v>
      </c>
      <c r="Q86" s="2147"/>
      <c r="R86" s="2147"/>
      <c r="S86" s="2147"/>
      <c r="T86" s="2148">
        <f>ROUND(IPMT(($AA$3%+0.35%)/11,1,$D$171-$D$76+1,$P$172-(SUM($P$4:P85)))*-1,2)</f>
        <v>8850.4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7375.33</v>
      </c>
      <c r="U87" s="2116"/>
      <c r="V87" s="2116"/>
      <c r="W87" s="2116"/>
      <c r="Y87" s="474">
        <f>SUM(T76:W87)</f>
        <v>104729.72999999998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7375.33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7375.33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7375.33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7375.33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7375.33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7375.33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7375.33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7375.33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7375.33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7375.33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v>228532</v>
      </c>
      <c r="Q98" s="2147"/>
      <c r="R98" s="2147"/>
      <c r="S98" s="2147"/>
      <c r="T98" s="2148">
        <f>ROUND(IPMT(($AA$3%+0.35%)/11,1,$D$171-$D$88+1,$P$172-(SUM($P$4:P97)))*-1,2)</f>
        <v>7375.33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5900.25</v>
      </c>
      <c r="U99" s="2116"/>
      <c r="V99" s="2116"/>
      <c r="W99" s="2116"/>
      <c r="Y99" s="474">
        <f>SUM(T88:W99)</f>
        <v>87028.88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5900.25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5900.25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5900.25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5900.25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5900.25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5900.25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5900.25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5900.25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5900.25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5900.25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v>228532</v>
      </c>
      <c r="Q110" s="2147"/>
      <c r="R110" s="2147"/>
      <c r="S110" s="2147"/>
      <c r="T110" s="2148">
        <f>ROUND(IPMT(($AA$3%+0.35%)/11,1,$D$171-$D$160+1,$P$172-(SUM($P$4:P109)))*-1,2)</f>
        <v>5900.25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4425.18</v>
      </c>
      <c r="U111" s="2111"/>
      <c r="V111" s="2111"/>
      <c r="W111" s="2111"/>
      <c r="Y111" s="474">
        <f>SUM(T100:W111)</f>
        <v>69327.929999999993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4425.18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4425.18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4425.18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4425.18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4425.18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4425.18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4425.18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4425.18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4425.18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4425.18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v>228532</v>
      </c>
      <c r="Q122" s="2147"/>
      <c r="R122" s="2147"/>
      <c r="S122" s="2147"/>
      <c r="T122" s="2148">
        <f>ROUND(IPMT(($AA$3%+0.35%)/11,1,$D$171-$D$160+1,$P$172-(SUM($P$4:P121)))*-1,2)</f>
        <v>4425.18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2950.11</v>
      </c>
      <c r="U123" s="2111"/>
      <c r="V123" s="2111"/>
      <c r="W123" s="2111"/>
      <c r="Y123" s="474">
        <f>SUM(T112:W123)</f>
        <v>51627.090000000004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2950.11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2950.11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2950.11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2950.11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2950.11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2950.11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2950.11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2950.11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2950.11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2950.11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v>228532</v>
      </c>
      <c r="Q134" s="2147"/>
      <c r="R134" s="2147"/>
      <c r="S134" s="2147"/>
      <c r="T134" s="2148">
        <f>ROUND(IPMT(($AA$3%+0.35%)/11,1,$D$171-$D$160+1,$P$172-(SUM($P$4:P133)))*-1,2)</f>
        <v>2950.11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1475.04</v>
      </c>
      <c r="U135" s="2111"/>
      <c r="V135" s="2111"/>
      <c r="W135" s="2111"/>
      <c r="Y135" s="474">
        <f>SUM(T124:W135)</f>
        <v>33926.25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1475.04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1475.04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1475.04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1475.04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1475.04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1475.04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1475.04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1475.04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1475.04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1475.04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v>228528</v>
      </c>
      <c r="Q146" s="2147"/>
      <c r="R146" s="2147"/>
      <c r="S146" s="2147"/>
      <c r="T146" s="2148">
        <f>ROUND(IPMT(($AA$3%+0.35%)/11,1,$D$171-$D$160+1,$P$172-(SUM($P$4:P145)))*-1,2)</f>
        <v>1475.04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16225.440000000002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2285316</v>
      </c>
      <c r="Q172" s="2121"/>
      <c r="R172" s="2121"/>
      <c r="S172" s="2122"/>
      <c r="T172" s="2123">
        <f>SUM(T4:T171)</f>
        <v>1312808.9560000019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workbookViewId="0">
      <selection activeCell="P154" sqref="P154:S154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f>4.75+3</f>
        <v>7.75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6.75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21816.086090909092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21816.09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21816.09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21816.09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21816.09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21816.09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21816.09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21816.09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21816.09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21816.09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groszy'!K28</f>
        <v>0</v>
      </c>
      <c r="Q14" s="2147"/>
      <c r="R14" s="2147"/>
      <c r="S14" s="2147"/>
      <c r="T14" s="2148">
        <f>ROUND(IPMT(($AA$3%+0.35%)/11,1,$D$171-$D$4+1,$P$172-(SUM($P$4:P13)))*-1,2)</f>
        <v>21816.09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21816.09</v>
      </c>
      <c r="U15" s="2116"/>
      <c r="V15" s="2116"/>
      <c r="W15" s="2116"/>
      <c r="Y15" s="474">
        <f>SUM(T4:W15)</f>
        <v>261793.07609090907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21816.09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21816.09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21816.09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21816.09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21816.09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21816.09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21816.09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21816.09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21816.09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21816.09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groszy'!M28</f>
        <v>0</v>
      </c>
      <c r="Q26" s="2147"/>
      <c r="R26" s="2147"/>
      <c r="S26" s="2147"/>
      <c r="T26" s="2148">
        <f>ROUND(IPMT(($AA$3%+0.35%)/11,1,$D$171-$D$16+1,$P$172-(SUM($P$4:P25)))*-1,2)</f>
        <v>21816.09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21816.09</v>
      </c>
      <c r="U27" s="2116"/>
      <c r="V27" s="2116"/>
      <c r="W27" s="2116"/>
      <c r="Y27" s="474">
        <f>SUM(T16:W27)</f>
        <v>261793.08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21816.09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21816.09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21816.09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21816.09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21816.09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21816.09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21816.09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21816.09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21816.09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21816.09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groszy'!O28</f>
        <v>337996</v>
      </c>
      <c r="Q38" s="2147"/>
      <c r="R38" s="2147"/>
      <c r="S38" s="2147"/>
      <c r="T38" s="2148">
        <f>ROUND(IPMT(($AA$3%+0.35%)/11,1,$D$171-$D$28+1,$P$172-(SUM($P$4:P37)))*-1,2)</f>
        <v>21816.09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19634.48</v>
      </c>
      <c r="U39" s="2116"/>
      <c r="V39" s="2116"/>
      <c r="W39" s="2116"/>
      <c r="Y39" s="474">
        <f>SUM(T28:W39)</f>
        <v>259611.47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19634.48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19634.48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19634.48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19634.48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19634.48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19634.48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19634.48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19634.48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19634.48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19634.48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groszy'!Q28</f>
        <v>337996</v>
      </c>
      <c r="Q50" s="2147"/>
      <c r="R50" s="2147"/>
      <c r="S50" s="2147"/>
      <c r="T50" s="2148">
        <f>ROUND(IPMT(($AA$3%+0.35%)/11,1,$D$171-$D$40+1,$P$172-(SUM($P$4:P49)))*-1,2)</f>
        <v>19634.48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17452.87</v>
      </c>
      <c r="U51" s="2116"/>
      <c r="V51" s="2116"/>
      <c r="W51" s="2116"/>
      <c r="Y51" s="474">
        <f>SUM(T40:W51)</f>
        <v>233432.15000000002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17452.87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17452.87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17452.87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17452.87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17452.87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17452.87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17452.87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17452.87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17452.87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17452.87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groszy'!S28</f>
        <v>337996</v>
      </c>
      <c r="Q62" s="2147"/>
      <c r="R62" s="2147"/>
      <c r="S62" s="2147"/>
      <c r="T62" s="2148">
        <f>ROUND(IPMT(($AA$3%+0.35%)/11,1,$D$171-$D$52+1,$P$172-(SUM($P$4:P61)))*-1,2)</f>
        <v>17452.87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15271.25</v>
      </c>
      <c r="U63" s="2116"/>
      <c r="V63" s="2116"/>
      <c r="W63" s="2116"/>
      <c r="Y63" s="474">
        <f>SUM(T52:W63)</f>
        <v>207252.81999999998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15271.25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15271.25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15271.25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15271.25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15271.25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15271.25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15271.25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15271.25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15271.25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15271.25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groszy'!U28</f>
        <v>337996</v>
      </c>
      <c r="Q74" s="2147"/>
      <c r="R74" s="2147"/>
      <c r="S74" s="2147"/>
      <c r="T74" s="2148">
        <f>ROUND(IPMT(($AA$3%+0.35%)/11,1,$D$171-$D$64+1,$P$172-(SUM($P$4:P73)))*-1,2)</f>
        <v>15271.25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13089.64</v>
      </c>
      <c r="U75" s="2116"/>
      <c r="V75" s="2116"/>
      <c r="W75" s="2116"/>
      <c r="Y75" s="474">
        <f>SUM(T64:W75)</f>
        <v>181073.39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13089.64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13089.64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13089.64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13089.64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13089.64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13089.64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13089.64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13089.64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13089.64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13089.64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groszy'!W28</f>
        <v>337996</v>
      </c>
      <c r="Q86" s="2147"/>
      <c r="R86" s="2147"/>
      <c r="S86" s="2147"/>
      <c r="T86" s="2148">
        <f>ROUND(IPMT(($AA$3%+0.35%)/11,1,$D$171-$D$76+1,$P$172-(SUM($P$4:P85)))*-1,2)</f>
        <v>13089.64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10908.03</v>
      </c>
      <c r="U87" s="2116"/>
      <c r="V87" s="2116"/>
      <c r="W87" s="2116"/>
      <c r="Y87" s="474">
        <f>SUM(T76:W87)</f>
        <v>154894.06999999998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10908.03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10908.03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10908.03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10908.03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10908.03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10908.03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10908.03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10908.03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10908.03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10908.03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groszy'!Y28</f>
        <v>337996</v>
      </c>
      <c r="Q98" s="2147"/>
      <c r="R98" s="2147"/>
      <c r="S98" s="2147"/>
      <c r="T98" s="2148">
        <f>ROUND(IPMT(($AA$3%+0.35%)/11,1,$D$171-$D$88+1,$P$172-(SUM($P$4:P97)))*-1,2)</f>
        <v>10908.03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8726.42</v>
      </c>
      <c r="U99" s="2116"/>
      <c r="V99" s="2116"/>
      <c r="W99" s="2116"/>
      <c r="Y99" s="474">
        <f>SUM(T88:W99)</f>
        <v>128714.75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8726.42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8726.42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8726.42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8726.42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8726.42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8726.42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8726.42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8726.42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8726.42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8726.42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groszy'!AA28</f>
        <v>337996</v>
      </c>
      <c r="Q110" s="2147"/>
      <c r="R110" s="2147"/>
      <c r="S110" s="2147"/>
      <c r="T110" s="2148">
        <f>ROUND(IPMT(($AA$3%+0.35%)/11,1,$D$171-$D$160+1,$P$172-(SUM($P$4:P109)))*-1,2)</f>
        <v>8726.42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6544.81</v>
      </c>
      <c r="U111" s="2111"/>
      <c r="V111" s="2111"/>
      <c r="W111" s="2111"/>
      <c r="Y111" s="474">
        <f>SUM(T100:W111)</f>
        <v>102535.43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6544.81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6544.81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6544.81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6544.81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6544.81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6544.81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6544.81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6544.81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6544.81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6544.81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groszy'!AC28</f>
        <v>337996</v>
      </c>
      <c r="Q122" s="2147"/>
      <c r="R122" s="2147"/>
      <c r="S122" s="2147"/>
      <c r="T122" s="2148">
        <f>ROUND(IPMT(($AA$3%+0.35%)/11,1,$D$171-$D$160+1,$P$172-(SUM($P$4:P121)))*-1,2)</f>
        <v>6544.81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4363.2</v>
      </c>
      <c r="U123" s="2111"/>
      <c r="V123" s="2111"/>
      <c r="W123" s="2111"/>
      <c r="Y123" s="474">
        <f>SUM(T112:W123)</f>
        <v>76356.109999999986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4363.2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4363.2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4363.2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4363.2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4363.2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4363.2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4363.2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4363.2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4363.2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4363.2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groszy'!AE28</f>
        <v>337996</v>
      </c>
      <c r="Q134" s="2147"/>
      <c r="R134" s="2147"/>
      <c r="S134" s="2147"/>
      <c r="T134" s="2148">
        <f>ROUND(IPMT(($AA$3%+0.35%)/11,1,$D$171-$D$160+1,$P$172-(SUM($P$4:P133)))*-1,2)</f>
        <v>4363.2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2181.59</v>
      </c>
      <c r="U135" s="2111"/>
      <c r="V135" s="2111"/>
      <c r="W135" s="2111"/>
      <c r="Y135" s="474">
        <f>SUM(T124:W135)</f>
        <v>50176.789999999994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2181.59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2181.59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2181.59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2181.59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2181.59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2181.59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2181.59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2181.59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2181.59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2181.59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v>337993</v>
      </c>
      <c r="Q146" s="2147"/>
      <c r="R146" s="2147"/>
      <c r="S146" s="2147"/>
      <c r="T146" s="2148">
        <f>ROUND(IPMT(($AA$3%+0.35%)/11,1,$D$171-$D$160+1,$P$172-(SUM($P$4:P145)))*-1,2)</f>
        <v>2181.59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23997.49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3379957</v>
      </c>
      <c r="Q172" s="2121"/>
      <c r="R172" s="2121"/>
      <c r="S172" s="2122"/>
      <c r="T172" s="2123">
        <f>SUM(T4:T171)</f>
        <v>1941630.6260909091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workbookViewId="0">
      <selection activeCell="P134" sqref="P134:S134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129"/>
      <c r="B1" s="2129"/>
      <c r="C1" s="2129"/>
      <c r="D1" s="2129"/>
      <c r="E1" s="2129"/>
      <c r="F1" s="2129"/>
      <c r="G1" s="2129"/>
      <c r="H1" s="2129"/>
      <c r="I1" s="2129"/>
      <c r="J1" s="2129"/>
      <c r="K1" s="2129"/>
      <c r="L1" s="2129"/>
      <c r="M1" s="2129"/>
      <c r="N1" s="2129"/>
      <c r="O1" s="2129"/>
      <c r="P1" s="2129"/>
      <c r="Q1" s="2129"/>
      <c r="R1" s="2129"/>
      <c r="S1" s="2129"/>
      <c r="T1" s="2129"/>
      <c r="U1" s="2129"/>
      <c r="V1" s="2129"/>
      <c r="W1" s="2129"/>
    </row>
    <row r="2" spans="1:27" ht="18.75">
      <c r="A2" s="2130"/>
      <c r="B2" s="2130"/>
      <c r="C2" s="2130"/>
      <c r="D2" s="2130"/>
      <c r="E2" s="2130"/>
      <c r="F2" s="2130"/>
      <c r="G2" s="2130"/>
      <c r="H2" s="2130"/>
      <c r="I2" s="2130"/>
      <c r="J2" s="2130"/>
      <c r="K2" s="2130"/>
      <c r="L2" s="2130"/>
      <c r="M2" s="2130"/>
      <c r="N2" s="2130"/>
      <c r="O2" s="2130"/>
      <c r="P2" s="2130"/>
      <c r="Q2" s="2130"/>
      <c r="R2" s="2130"/>
      <c r="S2" s="2130"/>
      <c r="T2" s="2130"/>
      <c r="U2" s="2130"/>
      <c r="V2" s="2130"/>
      <c r="W2" s="2130"/>
      <c r="Y2" s="468" t="s">
        <v>301</v>
      </c>
      <c r="AA2" s="469">
        <f>4.75+3</f>
        <v>7.75</v>
      </c>
    </row>
    <row r="3" spans="1:27" ht="22.5" customHeight="1">
      <c r="A3" s="2131" t="s">
        <v>196</v>
      </c>
      <c r="B3" s="2132"/>
      <c r="C3" s="2132"/>
      <c r="D3" s="2133" t="s">
        <v>302</v>
      </c>
      <c r="E3" s="2133"/>
      <c r="F3" s="2133"/>
      <c r="G3" s="2133"/>
      <c r="H3" s="2133" t="s">
        <v>303</v>
      </c>
      <c r="I3" s="2133"/>
      <c r="J3" s="2133"/>
      <c r="K3" s="2133"/>
      <c r="L3" s="2133"/>
      <c r="M3" s="2133"/>
      <c r="N3" s="2133"/>
      <c r="O3" s="2133"/>
      <c r="P3" s="2134" t="s">
        <v>304</v>
      </c>
      <c r="Q3" s="2135"/>
      <c r="R3" s="2135"/>
      <c r="S3" s="2136"/>
      <c r="T3" s="2134" t="s">
        <v>305</v>
      </c>
      <c r="U3" s="2135"/>
      <c r="V3" s="2135"/>
      <c r="W3" s="2136"/>
      <c r="Y3" s="468"/>
      <c r="AA3" s="470">
        <f>IF(AA2-1&lt;=3,3,AA2-1)</f>
        <v>6.75</v>
      </c>
    </row>
    <row r="4" spans="1:27" ht="14.1" customHeight="1">
      <c r="A4" s="2137">
        <v>1</v>
      </c>
      <c r="B4" s="2138"/>
      <c r="C4" s="2138"/>
      <c r="D4" s="2139">
        <v>2014</v>
      </c>
      <c r="E4" s="2139"/>
      <c r="F4" s="2139"/>
      <c r="G4" s="2139"/>
      <c r="H4" s="2139" t="s">
        <v>306</v>
      </c>
      <c r="I4" s="2139"/>
      <c r="J4" s="2139"/>
      <c r="K4" s="2139"/>
      <c r="L4" s="2139"/>
      <c r="M4" s="2139"/>
      <c r="N4" s="2139"/>
      <c r="O4" s="2139"/>
      <c r="P4" s="2140">
        <v>0</v>
      </c>
      <c r="Q4" s="2141"/>
      <c r="R4" s="2141"/>
      <c r="S4" s="2141"/>
      <c r="T4" s="2142">
        <f>IPMT((AA3%+0.35%)/11,1,$D$171-D4+1,$P$172*-1)</f>
        <v>3536.3486363636366</v>
      </c>
      <c r="U4" s="2142"/>
      <c r="V4" s="2142"/>
      <c r="W4" s="2142"/>
    </row>
    <row r="5" spans="1:27" ht="14.1" customHeight="1">
      <c r="A5" s="2112">
        <v>2</v>
      </c>
      <c r="B5" s="2113"/>
      <c r="C5" s="2113"/>
      <c r="D5" s="2126">
        <f>D4</f>
        <v>2014</v>
      </c>
      <c r="E5" s="2127"/>
      <c r="F5" s="2127"/>
      <c r="G5" s="2128"/>
      <c r="H5" s="2107" t="s">
        <v>307</v>
      </c>
      <c r="I5" s="2107"/>
      <c r="J5" s="2107"/>
      <c r="K5" s="2107"/>
      <c r="L5" s="2107"/>
      <c r="M5" s="2107"/>
      <c r="N5" s="2107"/>
      <c r="O5" s="2107"/>
      <c r="P5" s="2114">
        <v>0</v>
      </c>
      <c r="Q5" s="2115"/>
      <c r="R5" s="2115"/>
      <c r="S5" s="2115"/>
      <c r="T5" s="2116">
        <f>ROUND(IPMT(($AA$3%+0.35%)/11,1,$D$171-$D$4+1,$P$172-(SUM($P$4:P4)))*-1,2)</f>
        <v>3536.35</v>
      </c>
      <c r="U5" s="2116"/>
      <c r="V5" s="2116"/>
      <c r="W5" s="2116"/>
    </row>
    <row r="6" spans="1:27" ht="14.1" customHeight="1">
      <c r="A6" s="2112">
        <v>3</v>
      </c>
      <c r="B6" s="2113"/>
      <c r="C6" s="2113"/>
      <c r="D6" s="2126">
        <f t="shared" ref="D6:D15" si="0">D5</f>
        <v>2014</v>
      </c>
      <c r="E6" s="2127"/>
      <c r="F6" s="2127"/>
      <c r="G6" s="2128"/>
      <c r="H6" s="2107" t="s">
        <v>308</v>
      </c>
      <c r="I6" s="2107"/>
      <c r="J6" s="2107"/>
      <c r="K6" s="2107"/>
      <c r="L6" s="2107"/>
      <c r="M6" s="2107"/>
      <c r="N6" s="2107"/>
      <c r="O6" s="2107"/>
      <c r="P6" s="2114">
        <v>0</v>
      </c>
      <c r="Q6" s="2115"/>
      <c r="R6" s="2115"/>
      <c r="S6" s="2115"/>
      <c r="T6" s="2116">
        <f>ROUND(IPMT(($AA$3%+0.35%)/11,1,$D$171-$D$4+1,$P$172-(SUM($P$4:P5)))*-1,2)</f>
        <v>3536.35</v>
      </c>
      <c r="U6" s="2116"/>
      <c r="V6" s="2116"/>
      <c r="W6" s="2116"/>
    </row>
    <row r="7" spans="1:27" ht="14.1" customHeight="1">
      <c r="A7" s="2112">
        <v>4</v>
      </c>
      <c r="B7" s="2113"/>
      <c r="C7" s="2113"/>
      <c r="D7" s="2126">
        <f t="shared" si="0"/>
        <v>2014</v>
      </c>
      <c r="E7" s="2127"/>
      <c r="F7" s="2127"/>
      <c r="G7" s="2128"/>
      <c r="H7" s="2107" t="s">
        <v>309</v>
      </c>
      <c r="I7" s="2107"/>
      <c r="J7" s="2107"/>
      <c r="K7" s="2107"/>
      <c r="L7" s="2107"/>
      <c r="M7" s="2107"/>
      <c r="N7" s="2107"/>
      <c r="O7" s="2107"/>
      <c r="P7" s="2114">
        <v>0</v>
      </c>
      <c r="Q7" s="2115"/>
      <c r="R7" s="2115"/>
      <c r="S7" s="2115"/>
      <c r="T7" s="2116">
        <f>ROUND(IPMT(($AA$3%+0.35%)/11,1,$D$171-$D$4+1,$P$172-(SUM($P$4:P6)))*-1,2)</f>
        <v>3536.35</v>
      </c>
      <c r="U7" s="2116"/>
      <c r="V7" s="2116"/>
      <c r="W7" s="2116"/>
    </row>
    <row r="8" spans="1:27" ht="14.1" customHeight="1">
      <c r="A8" s="2112">
        <v>5</v>
      </c>
      <c r="B8" s="2113"/>
      <c r="C8" s="2113"/>
      <c r="D8" s="2126">
        <f t="shared" si="0"/>
        <v>2014</v>
      </c>
      <c r="E8" s="2127"/>
      <c r="F8" s="2127"/>
      <c r="G8" s="2128"/>
      <c r="H8" s="2107" t="s">
        <v>310</v>
      </c>
      <c r="I8" s="2107"/>
      <c r="J8" s="2107"/>
      <c r="K8" s="2107"/>
      <c r="L8" s="2107"/>
      <c r="M8" s="2107"/>
      <c r="N8" s="2107"/>
      <c r="O8" s="2107"/>
      <c r="P8" s="2114">
        <v>0</v>
      </c>
      <c r="Q8" s="2115"/>
      <c r="R8" s="2115"/>
      <c r="S8" s="2115"/>
      <c r="T8" s="2116">
        <f>ROUND(IPMT(($AA$3%+0.35%)/11,1,$D$171-$D$4+1,$P$172-(SUM($P$4:P7)))*-1,2)</f>
        <v>3536.35</v>
      </c>
      <c r="U8" s="2116"/>
      <c r="V8" s="2116"/>
      <c r="W8" s="2116"/>
    </row>
    <row r="9" spans="1:27" ht="14.1" customHeight="1">
      <c r="A9" s="2112">
        <v>6</v>
      </c>
      <c r="B9" s="2113"/>
      <c r="C9" s="2113"/>
      <c r="D9" s="2126">
        <f t="shared" si="0"/>
        <v>2014</v>
      </c>
      <c r="E9" s="2127"/>
      <c r="F9" s="2127"/>
      <c r="G9" s="2128"/>
      <c r="H9" s="2107" t="s">
        <v>311</v>
      </c>
      <c r="I9" s="2107"/>
      <c r="J9" s="2107"/>
      <c r="K9" s="2107"/>
      <c r="L9" s="2107"/>
      <c r="M9" s="2107"/>
      <c r="N9" s="2107"/>
      <c r="O9" s="2107"/>
      <c r="P9" s="2114">
        <v>0</v>
      </c>
      <c r="Q9" s="2115"/>
      <c r="R9" s="2115"/>
      <c r="S9" s="2115"/>
      <c r="T9" s="2116">
        <f>ROUND(IPMT(($AA$3%+0.35%)/11,1,$D$171-$D$4+1,$P$172-(SUM($P$4:P8)))*-1,2)</f>
        <v>3536.35</v>
      </c>
      <c r="U9" s="2116"/>
      <c r="V9" s="2116"/>
      <c r="W9" s="2116"/>
    </row>
    <row r="10" spans="1:27" ht="14.1" customHeight="1">
      <c r="A10" s="2112">
        <v>7</v>
      </c>
      <c r="B10" s="2113"/>
      <c r="C10" s="2113"/>
      <c r="D10" s="2126">
        <f t="shared" si="0"/>
        <v>2014</v>
      </c>
      <c r="E10" s="2127"/>
      <c r="F10" s="2127"/>
      <c r="G10" s="2128"/>
      <c r="H10" s="2107" t="s">
        <v>312</v>
      </c>
      <c r="I10" s="2107"/>
      <c r="J10" s="2107"/>
      <c r="K10" s="2107"/>
      <c r="L10" s="2107"/>
      <c r="M10" s="2107"/>
      <c r="N10" s="2107"/>
      <c r="O10" s="2107"/>
      <c r="P10" s="2114">
        <v>0</v>
      </c>
      <c r="Q10" s="2115"/>
      <c r="R10" s="2115"/>
      <c r="S10" s="2115"/>
      <c r="T10" s="2116">
        <f>ROUND(IPMT(($AA$3%+0.35%)/11,1,$D$171-$D$4+1,$P$172-(SUM($P$4:P9)))*-1,2)</f>
        <v>3536.35</v>
      </c>
      <c r="U10" s="2116"/>
      <c r="V10" s="2116"/>
      <c r="W10" s="2116"/>
    </row>
    <row r="11" spans="1:27" ht="14.1" customHeight="1">
      <c r="A11" s="2112">
        <v>8</v>
      </c>
      <c r="B11" s="2113"/>
      <c r="C11" s="2113"/>
      <c r="D11" s="2126">
        <f t="shared" si="0"/>
        <v>2014</v>
      </c>
      <c r="E11" s="2127"/>
      <c r="F11" s="2127"/>
      <c r="G11" s="2128"/>
      <c r="H11" s="2107" t="s">
        <v>313</v>
      </c>
      <c r="I11" s="2107"/>
      <c r="J11" s="2107"/>
      <c r="K11" s="2107"/>
      <c r="L11" s="2107"/>
      <c r="M11" s="2107"/>
      <c r="N11" s="2107"/>
      <c r="O11" s="2107"/>
      <c r="P11" s="2114">
        <v>0</v>
      </c>
      <c r="Q11" s="2115"/>
      <c r="R11" s="2115"/>
      <c r="S11" s="2115"/>
      <c r="T11" s="2116">
        <f>ROUND(IPMT(($AA$3%+0.35%)/11,1,$D$171-$D$4+1,$P$172-(SUM($P$4:P10)))*-1,2)</f>
        <v>3536.35</v>
      </c>
      <c r="U11" s="2116"/>
      <c r="V11" s="2116"/>
      <c r="W11" s="2116"/>
    </row>
    <row r="12" spans="1:27" ht="14.1" customHeight="1">
      <c r="A12" s="2112">
        <v>9</v>
      </c>
      <c r="B12" s="2113"/>
      <c r="C12" s="2113"/>
      <c r="D12" s="2126">
        <f t="shared" si="0"/>
        <v>2014</v>
      </c>
      <c r="E12" s="2127"/>
      <c r="F12" s="2127"/>
      <c r="G12" s="2128"/>
      <c r="H12" s="2107" t="s">
        <v>314</v>
      </c>
      <c r="I12" s="2107"/>
      <c r="J12" s="2107"/>
      <c r="K12" s="2107"/>
      <c r="L12" s="2107"/>
      <c r="M12" s="2107"/>
      <c r="N12" s="2107"/>
      <c r="O12" s="2107"/>
      <c r="P12" s="2114">
        <v>0</v>
      </c>
      <c r="Q12" s="2115"/>
      <c r="R12" s="2115"/>
      <c r="S12" s="2115"/>
      <c r="T12" s="2116">
        <f>ROUND(IPMT(($AA$3%+0.35%)/11,1,$D$171-$D$4+1,$P$172-(SUM($P$4:P11)))*-1,2)</f>
        <v>3536.35</v>
      </c>
      <c r="U12" s="2116"/>
      <c r="V12" s="2116"/>
      <c r="W12" s="2116"/>
    </row>
    <row r="13" spans="1:27" ht="14.1" customHeight="1">
      <c r="A13" s="2112">
        <v>10</v>
      </c>
      <c r="B13" s="2113"/>
      <c r="C13" s="2113"/>
      <c r="D13" s="2126">
        <f t="shared" si="0"/>
        <v>2014</v>
      </c>
      <c r="E13" s="2127"/>
      <c r="F13" s="2127"/>
      <c r="G13" s="2128"/>
      <c r="H13" s="2107" t="s">
        <v>315</v>
      </c>
      <c r="I13" s="2107"/>
      <c r="J13" s="2107"/>
      <c r="K13" s="2107"/>
      <c r="L13" s="2107"/>
      <c r="M13" s="2107"/>
      <c r="N13" s="2107"/>
      <c r="O13" s="2107"/>
      <c r="P13" s="2114">
        <v>0</v>
      </c>
      <c r="Q13" s="2115"/>
      <c r="R13" s="2115"/>
      <c r="S13" s="2115"/>
      <c r="T13" s="2116">
        <f>ROUND(IPMT(($AA$3%+0.35%)/11,1,$D$171-$D$4+1,$P$172-(SUM($P$4:P12)))*-1,2)</f>
        <v>3536.35</v>
      </c>
      <c r="U13" s="2116"/>
      <c r="V13" s="2116"/>
      <c r="W13" s="2116"/>
    </row>
    <row r="14" spans="1:27" s="477" customFormat="1" ht="14.1" customHeight="1">
      <c r="A14" s="2143">
        <v>11</v>
      </c>
      <c r="B14" s="2144"/>
      <c r="C14" s="2144"/>
      <c r="D14" s="2149">
        <f t="shared" si="0"/>
        <v>2014</v>
      </c>
      <c r="E14" s="2150"/>
      <c r="F14" s="2150"/>
      <c r="G14" s="2151"/>
      <c r="H14" s="2145" t="s">
        <v>316</v>
      </c>
      <c r="I14" s="2145"/>
      <c r="J14" s="2145"/>
      <c r="K14" s="2145"/>
      <c r="L14" s="2145"/>
      <c r="M14" s="2145"/>
      <c r="N14" s="2145"/>
      <c r="O14" s="2145"/>
      <c r="P14" s="2146">
        <f>'HSZ do groszy'!K29</f>
        <v>0</v>
      </c>
      <c r="Q14" s="2147"/>
      <c r="R14" s="2147"/>
      <c r="S14" s="2147"/>
      <c r="T14" s="2148">
        <f>ROUND(IPMT(($AA$3%+0.35%)/11,1,$D$171-$D$4+1,$P$172-(SUM($P$4:P13)))*-1,2)</f>
        <v>3536.35</v>
      </c>
      <c r="U14" s="2148"/>
      <c r="V14" s="2148"/>
      <c r="W14" s="2148"/>
    </row>
    <row r="15" spans="1:27" ht="14.1" customHeight="1">
      <c r="A15" s="2112">
        <v>12</v>
      </c>
      <c r="B15" s="2113"/>
      <c r="C15" s="2113"/>
      <c r="D15" s="2126">
        <f t="shared" si="0"/>
        <v>2014</v>
      </c>
      <c r="E15" s="2127"/>
      <c r="F15" s="2127"/>
      <c r="G15" s="2128"/>
      <c r="H15" s="2107" t="s">
        <v>317</v>
      </c>
      <c r="I15" s="2107"/>
      <c r="J15" s="2107"/>
      <c r="K15" s="2107"/>
      <c r="L15" s="2107"/>
      <c r="M15" s="2107"/>
      <c r="N15" s="2107"/>
      <c r="O15" s="2107"/>
      <c r="P15" s="2114">
        <v>0</v>
      </c>
      <c r="Q15" s="2115"/>
      <c r="R15" s="2115"/>
      <c r="S15" s="2115"/>
      <c r="T15" s="2116">
        <f>ROUND(IPMT(($AA$3%+0.35%)/11,1,$D$171-$D$4+1,$P$172-(SUM($P$4:P14)))*-1,2)</f>
        <v>3536.35</v>
      </c>
      <c r="U15" s="2116"/>
      <c r="V15" s="2116"/>
      <c r="W15" s="2116"/>
      <c r="Y15" s="474">
        <f>SUM(T4:W15)</f>
        <v>42436.198636363632</v>
      </c>
    </row>
    <row r="16" spans="1:27" ht="14.1" customHeight="1">
      <c r="A16" s="2112">
        <v>13</v>
      </c>
      <c r="B16" s="2113"/>
      <c r="C16" s="2113"/>
      <c r="D16" s="2107">
        <f>D15+1</f>
        <v>2015</v>
      </c>
      <c r="E16" s="2107"/>
      <c r="F16" s="2107"/>
      <c r="G16" s="2107"/>
      <c r="H16" s="2107" t="s">
        <v>306</v>
      </c>
      <c r="I16" s="2107"/>
      <c r="J16" s="2107"/>
      <c r="K16" s="2107"/>
      <c r="L16" s="2107"/>
      <c r="M16" s="2107"/>
      <c r="N16" s="2107"/>
      <c r="O16" s="2107"/>
      <c r="P16" s="2114">
        <v>0</v>
      </c>
      <c r="Q16" s="2115"/>
      <c r="R16" s="2115"/>
      <c r="S16" s="2115"/>
      <c r="T16" s="2116">
        <f>ROUND(IPMT(($AA$3%+0.35%)/11,1,$D$171-D15+1,$P$172-(SUM($P$4:P15)))*-1,2)</f>
        <v>3536.35</v>
      </c>
      <c r="U16" s="2116"/>
      <c r="V16" s="2116"/>
      <c r="W16" s="2116"/>
      <c r="Y16" s="471"/>
      <c r="Z16" s="471"/>
    </row>
    <row r="17" spans="1:26" ht="14.1" customHeight="1">
      <c r="A17" s="2112">
        <v>14</v>
      </c>
      <c r="B17" s="2113"/>
      <c r="C17" s="2113"/>
      <c r="D17" s="2107">
        <f>$D$16</f>
        <v>2015</v>
      </c>
      <c r="E17" s="2107"/>
      <c r="F17" s="2107"/>
      <c r="G17" s="2107"/>
      <c r="H17" s="2107" t="s">
        <v>307</v>
      </c>
      <c r="I17" s="2107"/>
      <c r="J17" s="2107"/>
      <c r="K17" s="2107"/>
      <c r="L17" s="2107"/>
      <c r="M17" s="2107"/>
      <c r="N17" s="2107"/>
      <c r="O17" s="2107"/>
      <c r="P17" s="2114">
        <v>0</v>
      </c>
      <c r="Q17" s="2115"/>
      <c r="R17" s="2115"/>
      <c r="S17" s="2115"/>
      <c r="T17" s="2116">
        <f>ROUND(IPMT(($AA$3%+0.35%)/11,1,$D$171-D16+1,$P$172-(SUM($P$4:P16)))*-1,2)</f>
        <v>3536.35</v>
      </c>
      <c r="U17" s="2116"/>
      <c r="V17" s="2116"/>
      <c r="W17" s="2116"/>
      <c r="Y17" s="471"/>
      <c r="Z17" s="471"/>
    </row>
    <row r="18" spans="1:26" ht="14.1" customHeight="1">
      <c r="A18" s="2112">
        <v>15</v>
      </c>
      <c r="B18" s="2113"/>
      <c r="C18" s="2113"/>
      <c r="D18" s="2107">
        <f t="shared" ref="D18:D27" si="1">$D$16</f>
        <v>2015</v>
      </c>
      <c r="E18" s="2107"/>
      <c r="F18" s="2107"/>
      <c r="G18" s="2107"/>
      <c r="H18" s="2107" t="s">
        <v>308</v>
      </c>
      <c r="I18" s="2107"/>
      <c r="J18" s="2107"/>
      <c r="K18" s="2107"/>
      <c r="L18" s="2107"/>
      <c r="M18" s="2107"/>
      <c r="N18" s="2107"/>
      <c r="O18" s="2107"/>
      <c r="P18" s="2114">
        <v>0</v>
      </c>
      <c r="Q18" s="2115"/>
      <c r="R18" s="2115"/>
      <c r="S18" s="2115"/>
      <c r="T18" s="2116">
        <f>ROUND(IPMT(($AA$3%+0.35%)/11,1,$D$171-$D$16+1,$P$172-(SUM($P$4:P17)))*-1,2)</f>
        <v>3536.35</v>
      </c>
      <c r="U18" s="2116"/>
      <c r="V18" s="2116"/>
      <c r="W18" s="2116"/>
      <c r="Y18" s="471"/>
      <c r="Z18" s="471"/>
    </row>
    <row r="19" spans="1:26" ht="14.1" customHeight="1">
      <c r="A19" s="2112">
        <v>16</v>
      </c>
      <c r="B19" s="2113"/>
      <c r="C19" s="2113"/>
      <c r="D19" s="2107">
        <f t="shared" si="1"/>
        <v>2015</v>
      </c>
      <c r="E19" s="2107"/>
      <c r="F19" s="2107"/>
      <c r="G19" s="2107"/>
      <c r="H19" s="2107" t="s">
        <v>309</v>
      </c>
      <c r="I19" s="2107"/>
      <c r="J19" s="2107"/>
      <c r="K19" s="2107"/>
      <c r="L19" s="2107"/>
      <c r="M19" s="2107"/>
      <c r="N19" s="2107"/>
      <c r="O19" s="2107"/>
      <c r="P19" s="2114">
        <v>0</v>
      </c>
      <c r="Q19" s="2115"/>
      <c r="R19" s="2115"/>
      <c r="S19" s="2115"/>
      <c r="T19" s="2116">
        <f>ROUND(IPMT(($AA$3%+0.35%)/11,1,$D$171-$D$16+1,$P$172-(SUM($P$4:P18)))*-1,2)</f>
        <v>3536.35</v>
      </c>
      <c r="U19" s="2116"/>
      <c r="V19" s="2116"/>
      <c r="W19" s="2116"/>
      <c r="Y19" s="471"/>
      <c r="Z19" s="471"/>
    </row>
    <row r="20" spans="1:26" ht="14.1" customHeight="1">
      <c r="A20" s="2112">
        <v>17</v>
      </c>
      <c r="B20" s="2113"/>
      <c r="C20" s="2113"/>
      <c r="D20" s="2107">
        <f t="shared" si="1"/>
        <v>2015</v>
      </c>
      <c r="E20" s="2107"/>
      <c r="F20" s="2107"/>
      <c r="G20" s="2107"/>
      <c r="H20" s="2107" t="s">
        <v>310</v>
      </c>
      <c r="I20" s="2107"/>
      <c r="J20" s="2107"/>
      <c r="K20" s="2107"/>
      <c r="L20" s="2107"/>
      <c r="M20" s="2107"/>
      <c r="N20" s="2107"/>
      <c r="O20" s="2107"/>
      <c r="P20" s="2114">
        <v>0</v>
      </c>
      <c r="Q20" s="2115"/>
      <c r="R20" s="2115"/>
      <c r="S20" s="2115"/>
      <c r="T20" s="2116">
        <f>ROUND(IPMT(($AA$3%+0.35%)/11,1,$D$171-$D$16+1,$P$172-(SUM($P$4:P19)))*-1,2)</f>
        <v>3536.35</v>
      </c>
      <c r="U20" s="2116"/>
      <c r="V20" s="2116"/>
      <c r="W20" s="2116"/>
      <c r="Y20" s="471"/>
      <c r="Z20" s="471"/>
    </row>
    <row r="21" spans="1:26" ht="14.1" customHeight="1">
      <c r="A21" s="2112">
        <v>18</v>
      </c>
      <c r="B21" s="2113"/>
      <c r="C21" s="2113"/>
      <c r="D21" s="2107">
        <f t="shared" si="1"/>
        <v>2015</v>
      </c>
      <c r="E21" s="2107"/>
      <c r="F21" s="2107"/>
      <c r="G21" s="2107"/>
      <c r="H21" s="2107" t="s">
        <v>311</v>
      </c>
      <c r="I21" s="2107"/>
      <c r="J21" s="2107"/>
      <c r="K21" s="2107"/>
      <c r="L21" s="2107"/>
      <c r="M21" s="2107"/>
      <c r="N21" s="2107"/>
      <c r="O21" s="2107"/>
      <c r="P21" s="2114">
        <v>0</v>
      </c>
      <c r="Q21" s="2115"/>
      <c r="R21" s="2115"/>
      <c r="S21" s="2115"/>
      <c r="T21" s="2116">
        <f>ROUND(IPMT(($AA$3%+0.35%)/11,1,$D$171-$D$16+1,$P$172-(SUM($P$4:P20)))*-1,2)</f>
        <v>3536.35</v>
      </c>
      <c r="U21" s="2116"/>
      <c r="V21" s="2116"/>
      <c r="W21" s="2116"/>
      <c r="Y21" s="471"/>
      <c r="Z21" s="471"/>
    </row>
    <row r="22" spans="1:26" ht="14.1" customHeight="1">
      <c r="A22" s="2112">
        <v>19</v>
      </c>
      <c r="B22" s="2113"/>
      <c r="C22" s="2113"/>
      <c r="D22" s="2107">
        <f t="shared" si="1"/>
        <v>2015</v>
      </c>
      <c r="E22" s="2107"/>
      <c r="F22" s="2107"/>
      <c r="G22" s="2107"/>
      <c r="H22" s="2107" t="s">
        <v>312</v>
      </c>
      <c r="I22" s="2107"/>
      <c r="J22" s="2107"/>
      <c r="K22" s="2107"/>
      <c r="L22" s="2107"/>
      <c r="M22" s="2107"/>
      <c r="N22" s="2107"/>
      <c r="O22" s="2107"/>
      <c r="P22" s="2114">
        <v>0</v>
      </c>
      <c r="Q22" s="2115"/>
      <c r="R22" s="2115"/>
      <c r="S22" s="2115"/>
      <c r="T22" s="2116">
        <f>ROUND(IPMT(($AA$3%+0.35%)/11,1,$D$171-$D$16+1,$P$172-(SUM($P$4:P21)))*-1,2)</f>
        <v>3536.35</v>
      </c>
      <c r="U22" s="2116"/>
      <c r="V22" s="2116"/>
      <c r="W22" s="2116"/>
      <c r="Y22" s="471"/>
      <c r="Z22" s="471"/>
    </row>
    <row r="23" spans="1:26" ht="14.1" customHeight="1">
      <c r="A23" s="2112">
        <v>20</v>
      </c>
      <c r="B23" s="2113"/>
      <c r="C23" s="2113"/>
      <c r="D23" s="2107">
        <f t="shared" si="1"/>
        <v>2015</v>
      </c>
      <c r="E23" s="2107"/>
      <c r="F23" s="2107"/>
      <c r="G23" s="2107"/>
      <c r="H23" s="2107" t="s">
        <v>313</v>
      </c>
      <c r="I23" s="2107"/>
      <c r="J23" s="2107"/>
      <c r="K23" s="2107"/>
      <c r="L23" s="2107"/>
      <c r="M23" s="2107"/>
      <c r="N23" s="2107"/>
      <c r="O23" s="2107"/>
      <c r="P23" s="2114">
        <v>0</v>
      </c>
      <c r="Q23" s="2115"/>
      <c r="R23" s="2115"/>
      <c r="S23" s="2115"/>
      <c r="T23" s="2116">
        <f>ROUND(IPMT(($AA$3%+0.35%)/11,1,$D$171-$D$16+1,$P$172-(SUM($P$4:P22)))*-1,2)</f>
        <v>3536.35</v>
      </c>
      <c r="U23" s="2116"/>
      <c r="V23" s="2116"/>
      <c r="W23" s="2116"/>
      <c r="Y23" s="471"/>
      <c r="Z23" s="471"/>
    </row>
    <row r="24" spans="1:26" ht="14.1" customHeight="1">
      <c r="A24" s="2112">
        <v>21</v>
      </c>
      <c r="B24" s="2113"/>
      <c r="C24" s="2113"/>
      <c r="D24" s="2107">
        <f t="shared" si="1"/>
        <v>2015</v>
      </c>
      <c r="E24" s="2107"/>
      <c r="F24" s="2107"/>
      <c r="G24" s="2107"/>
      <c r="H24" s="2107" t="s">
        <v>314</v>
      </c>
      <c r="I24" s="2107"/>
      <c r="J24" s="2107"/>
      <c r="K24" s="2107"/>
      <c r="L24" s="2107"/>
      <c r="M24" s="2107"/>
      <c r="N24" s="2107"/>
      <c r="O24" s="2107"/>
      <c r="P24" s="2114">
        <v>0</v>
      </c>
      <c r="Q24" s="2115"/>
      <c r="R24" s="2115"/>
      <c r="S24" s="2115"/>
      <c r="T24" s="2116">
        <f>ROUND(IPMT(($AA$3%+0.35%)/11,1,$D$171-$D$16+1,$P$172-(SUM($P$4:P23)))*-1,2)</f>
        <v>3536.35</v>
      </c>
      <c r="U24" s="2116"/>
      <c r="V24" s="2116"/>
      <c r="W24" s="2116"/>
      <c r="Y24" s="471"/>
      <c r="Z24" s="471"/>
    </row>
    <row r="25" spans="1:26" ht="14.1" customHeight="1">
      <c r="A25" s="2112">
        <v>22</v>
      </c>
      <c r="B25" s="2113"/>
      <c r="C25" s="2113"/>
      <c r="D25" s="2107">
        <f t="shared" si="1"/>
        <v>2015</v>
      </c>
      <c r="E25" s="2107"/>
      <c r="F25" s="2107"/>
      <c r="G25" s="2107"/>
      <c r="H25" s="2107" t="s">
        <v>315</v>
      </c>
      <c r="I25" s="2107"/>
      <c r="J25" s="2107"/>
      <c r="K25" s="2107"/>
      <c r="L25" s="2107"/>
      <c r="M25" s="2107"/>
      <c r="N25" s="2107"/>
      <c r="O25" s="2107"/>
      <c r="P25" s="2114">
        <v>0</v>
      </c>
      <c r="Q25" s="2115"/>
      <c r="R25" s="2115"/>
      <c r="S25" s="2115"/>
      <c r="T25" s="2116">
        <f>ROUND(IPMT(($AA$3%+0.35%)/11,1,$D$171-$D$16+1,$P$172-(SUM($P$4:P24)))*-1,2)</f>
        <v>3536.35</v>
      </c>
      <c r="U25" s="2116"/>
      <c r="V25" s="2116"/>
      <c r="W25" s="2116"/>
      <c r="Y25" s="471"/>
      <c r="Z25" s="471"/>
    </row>
    <row r="26" spans="1:26" s="477" customFormat="1" ht="14.1" customHeight="1">
      <c r="A26" s="2143">
        <v>23</v>
      </c>
      <c r="B26" s="2144"/>
      <c r="C26" s="2144"/>
      <c r="D26" s="2145">
        <f t="shared" si="1"/>
        <v>2015</v>
      </c>
      <c r="E26" s="2145"/>
      <c r="F26" s="2145"/>
      <c r="G26" s="2145"/>
      <c r="H26" s="2145" t="s">
        <v>316</v>
      </c>
      <c r="I26" s="2145"/>
      <c r="J26" s="2145"/>
      <c r="K26" s="2145"/>
      <c r="L26" s="2145"/>
      <c r="M26" s="2145"/>
      <c r="N26" s="2145"/>
      <c r="O26" s="2145"/>
      <c r="P26" s="2146">
        <f>'HSZ do groszy'!M29</f>
        <v>0</v>
      </c>
      <c r="Q26" s="2147"/>
      <c r="R26" s="2147"/>
      <c r="S26" s="2147"/>
      <c r="T26" s="2148">
        <f>ROUND(IPMT(($AA$3%+0.35%)/11,1,$D$171-$D$16+1,$P$172-(SUM($P$4:P25)))*-1,2)</f>
        <v>3536.35</v>
      </c>
      <c r="U26" s="2148"/>
      <c r="V26" s="2148"/>
      <c r="W26" s="2148"/>
      <c r="Y26" s="478"/>
      <c r="Z26" s="478"/>
    </row>
    <row r="27" spans="1:26" ht="14.1" customHeight="1">
      <c r="A27" s="2112">
        <v>24</v>
      </c>
      <c r="B27" s="2113"/>
      <c r="C27" s="2113"/>
      <c r="D27" s="2107">
        <f t="shared" si="1"/>
        <v>2015</v>
      </c>
      <c r="E27" s="2107"/>
      <c r="F27" s="2107"/>
      <c r="G27" s="2107"/>
      <c r="H27" s="2107" t="s">
        <v>317</v>
      </c>
      <c r="I27" s="2107"/>
      <c r="J27" s="2107"/>
      <c r="K27" s="2107"/>
      <c r="L27" s="2107"/>
      <c r="M27" s="2107"/>
      <c r="N27" s="2107"/>
      <c r="O27" s="2107"/>
      <c r="P27" s="2114">
        <v>0</v>
      </c>
      <c r="Q27" s="2115"/>
      <c r="R27" s="2115"/>
      <c r="S27" s="2115"/>
      <c r="T27" s="2116">
        <f>ROUND(IPMT(($AA$3%+0.35%)/11,1,$D$171-$D$16+1,$P$172-(SUM($P$4:P26)))*-1,2)</f>
        <v>3536.35</v>
      </c>
      <c r="U27" s="2116"/>
      <c r="V27" s="2116"/>
      <c r="W27" s="2116"/>
      <c r="Y27" s="474">
        <f>SUM(T16:W27)</f>
        <v>42436.19999999999</v>
      </c>
    </row>
    <row r="28" spans="1:26" ht="14.1" customHeight="1">
      <c r="A28" s="2112">
        <v>25</v>
      </c>
      <c r="B28" s="2113"/>
      <c r="C28" s="2113"/>
      <c r="D28" s="2107">
        <f>D16+1</f>
        <v>2016</v>
      </c>
      <c r="E28" s="2107"/>
      <c r="F28" s="2107"/>
      <c r="G28" s="2107"/>
      <c r="H28" s="2107" t="s">
        <v>306</v>
      </c>
      <c r="I28" s="2107"/>
      <c r="J28" s="2107"/>
      <c r="K28" s="2107"/>
      <c r="L28" s="2107"/>
      <c r="M28" s="2107"/>
      <c r="N28" s="2107"/>
      <c r="O28" s="2107"/>
      <c r="P28" s="2114">
        <v>0</v>
      </c>
      <c r="Q28" s="2115"/>
      <c r="R28" s="2115"/>
      <c r="S28" s="2115"/>
      <c r="T28" s="2116">
        <f>ROUND(IPMT(($AA$3%+0.35%)/11,1,$D$171-$D$16+1,$P$172-(SUM($P$4:P27)))*-1,2)</f>
        <v>3536.35</v>
      </c>
      <c r="U28" s="2116"/>
      <c r="V28" s="2116"/>
      <c r="W28" s="2116"/>
      <c r="Y28" s="471"/>
      <c r="Z28" s="471"/>
    </row>
    <row r="29" spans="1:26" ht="14.1" customHeight="1">
      <c r="A29" s="2112">
        <v>26</v>
      </c>
      <c r="B29" s="2113"/>
      <c r="C29" s="2113"/>
      <c r="D29" s="2107">
        <f>$D$28</f>
        <v>2016</v>
      </c>
      <c r="E29" s="2107"/>
      <c r="F29" s="2107"/>
      <c r="G29" s="2107"/>
      <c r="H29" s="2107" t="s">
        <v>307</v>
      </c>
      <c r="I29" s="2107"/>
      <c r="J29" s="2107"/>
      <c r="K29" s="2107"/>
      <c r="L29" s="2107"/>
      <c r="M29" s="2107"/>
      <c r="N29" s="2107"/>
      <c r="O29" s="2107"/>
      <c r="P29" s="2114">
        <v>0</v>
      </c>
      <c r="Q29" s="2115"/>
      <c r="R29" s="2115"/>
      <c r="S29" s="2115"/>
      <c r="T29" s="2116">
        <f>ROUND(IPMT(($AA$3%+0.35%)/11,1,$D$171-$D$28+1,$P$172-(SUM($P$4:P28)))*-1,2)</f>
        <v>3536.35</v>
      </c>
      <c r="U29" s="2116"/>
      <c r="V29" s="2116"/>
      <c r="W29" s="2116"/>
      <c r="Y29" s="471"/>
      <c r="Z29" s="471"/>
    </row>
    <row r="30" spans="1:26" ht="14.1" customHeight="1">
      <c r="A30" s="2112">
        <v>27</v>
      </c>
      <c r="B30" s="2113"/>
      <c r="C30" s="2113"/>
      <c r="D30" s="2107">
        <f t="shared" ref="D30:D39" si="2">$D$28</f>
        <v>2016</v>
      </c>
      <c r="E30" s="2107"/>
      <c r="F30" s="2107"/>
      <c r="G30" s="2107"/>
      <c r="H30" s="2107" t="s">
        <v>308</v>
      </c>
      <c r="I30" s="2107"/>
      <c r="J30" s="2107"/>
      <c r="K30" s="2107"/>
      <c r="L30" s="2107"/>
      <c r="M30" s="2107"/>
      <c r="N30" s="2107"/>
      <c r="O30" s="2107"/>
      <c r="P30" s="2114">
        <v>0</v>
      </c>
      <c r="Q30" s="2115"/>
      <c r="R30" s="2115"/>
      <c r="S30" s="2115"/>
      <c r="T30" s="2116">
        <f>ROUND(IPMT(($AA$3%+0.35%)/11,1,$D$171-$D$28+1,$P$172-(SUM($P$4:P29)))*-1,2)</f>
        <v>3536.35</v>
      </c>
      <c r="U30" s="2116"/>
      <c r="V30" s="2116"/>
      <c r="W30" s="2116"/>
      <c r="Y30" s="471"/>
      <c r="Z30" s="471"/>
    </row>
    <row r="31" spans="1:26" ht="14.1" customHeight="1">
      <c r="A31" s="2112">
        <v>28</v>
      </c>
      <c r="B31" s="2113"/>
      <c r="C31" s="2113"/>
      <c r="D31" s="2107">
        <f t="shared" si="2"/>
        <v>2016</v>
      </c>
      <c r="E31" s="2107"/>
      <c r="F31" s="2107"/>
      <c r="G31" s="2107"/>
      <c r="H31" s="2107" t="s">
        <v>309</v>
      </c>
      <c r="I31" s="2107"/>
      <c r="J31" s="2107"/>
      <c r="K31" s="2107"/>
      <c r="L31" s="2107"/>
      <c r="M31" s="2107"/>
      <c r="N31" s="2107"/>
      <c r="O31" s="2107"/>
      <c r="P31" s="2114">
        <v>0</v>
      </c>
      <c r="Q31" s="2115"/>
      <c r="R31" s="2115"/>
      <c r="S31" s="2115"/>
      <c r="T31" s="2116">
        <f>ROUND(IPMT(($AA$3%+0.35%)/11,1,$D$171-$D$28+1,$P$172-(SUM($P$4:P30)))*-1,2)</f>
        <v>3536.35</v>
      </c>
      <c r="U31" s="2116"/>
      <c r="V31" s="2116"/>
      <c r="W31" s="2116"/>
      <c r="Y31" s="471"/>
      <c r="Z31" s="471"/>
    </row>
    <row r="32" spans="1:26" ht="14.1" customHeight="1">
      <c r="A32" s="2112">
        <v>29</v>
      </c>
      <c r="B32" s="2113"/>
      <c r="C32" s="2113"/>
      <c r="D32" s="2107">
        <f t="shared" si="2"/>
        <v>2016</v>
      </c>
      <c r="E32" s="2107"/>
      <c r="F32" s="2107"/>
      <c r="G32" s="2107"/>
      <c r="H32" s="2107" t="s">
        <v>310</v>
      </c>
      <c r="I32" s="2107"/>
      <c r="J32" s="2107"/>
      <c r="K32" s="2107"/>
      <c r="L32" s="2107"/>
      <c r="M32" s="2107"/>
      <c r="N32" s="2107"/>
      <c r="O32" s="2107"/>
      <c r="P32" s="2114">
        <v>0</v>
      </c>
      <c r="Q32" s="2115"/>
      <c r="R32" s="2115"/>
      <c r="S32" s="2115"/>
      <c r="T32" s="2116">
        <f>ROUND(IPMT(($AA$3%+0.35%)/11,1,$D$171-$D$28+1,$P$172-(SUM($P$4:P31)))*-1,2)</f>
        <v>3536.35</v>
      </c>
      <c r="U32" s="2116"/>
      <c r="V32" s="2116"/>
      <c r="W32" s="2116"/>
      <c r="Y32" s="471"/>
      <c r="Z32" s="471"/>
    </row>
    <row r="33" spans="1:26" ht="14.1" customHeight="1">
      <c r="A33" s="2112">
        <v>30</v>
      </c>
      <c r="B33" s="2113"/>
      <c r="C33" s="2113"/>
      <c r="D33" s="2107">
        <f t="shared" si="2"/>
        <v>2016</v>
      </c>
      <c r="E33" s="2107"/>
      <c r="F33" s="2107"/>
      <c r="G33" s="2107"/>
      <c r="H33" s="2107" t="s">
        <v>311</v>
      </c>
      <c r="I33" s="2107"/>
      <c r="J33" s="2107"/>
      <c r="K33" s="2107"/>
      <c r="L33" s="2107"/>
      <c r="M33" s="2107"/>
      <c r="N33" s="2107"/>
      <c r="O33" s="2107"/>
      <c r="P33" s="2114">
        <v>0</v>
      </c>
      <c r="Q33" s="2115"/>
      <c r="R33" s="2115"/>
      <c r="S33" s="2115"/>
      <c r="T33" s="2116">
        <f>ROUND(IPMT(($AA$3%+0.35%)/11,1,$D$171-$D$28+1,$P$172-(SUM($P$4:P32)))*-1,2)</f>
        <v>3536.35</v>
      </c>
      <c r="U33" s="2116"/>
      <c r="V33" s="2116"/>
      <c r="W33" s="2116"/>
      <c r="Y33" s="471"/>
      <c r="Z33" s="471"/>
    </row>
    <row r="34" spans="1:26" ht="14.1" customHeight="1">
      <c r="A34" s="2112">
        <v>31</v>
      </c>
      <c r="B34" s="2113"/>
      <c r="C34" s="2113"/>
      <c r="D34" s="2107">
        <f t="shared" si="2"/>
        <v>2016</v>
      </c>
      <c r="E34" s="2107"/>
      <c r="F34" s="2107"/>
      <c r="G34" s="2107"/>
      <c r="H34" s="2107" t="s">
        <v>312</v>
      </c>
      <c r="I34" s="2107"/>
      <c r="J34" s="2107"/>
      <c r="K34" s="2107"/>
      <c r="L34" s="2107"/>
      <c r="M34" s="2107"/>
      <c r="N34" s="2107"/>
      <c r="O34" s="2107"/>
      <c r="P34" s="2114">
        <v>0</v>
      </c>
      <c r="Q34" s="2115"/>
      <c r="R34" s="2115"/>
      <c r="S34" s="2115"/>
      <c r="T34" s="2116">
        <f>ROUND(IPMT(($AA$3%+0.35%)/11,1,$D$171-$D$28+1,$P$172-(SUM($P$4:P33)))*-1,2)</f>
        <v>3536.35</v>
      </c>
      <c r="U34" s="2116"/>
      <c r="V34" s="2116"/>
      <c r="W34" s="2116"/>
      <c r="Y34" s="471"/>
      <c r="Z34" s="471"/>
    </row>
    <row r="35" spans="1:26" ht="14.1" customHeight="1">
      <c r="A35" s="2112">
        <v>32</v>
      </c>
      <c r="B35" s="2113"/>
      <c r="C35" s="2113"/>
      <c r="D35" s="2107">
        <f t="shared" si="2"/>
        <v>2016</v>
      </c>
      <c r="E35" s="2107"/>
      <c r="F35" s="2107"/>
      <c r="G35" s="2107"/>
      <c r="H35" s="2107" t="s">
        <v>313</v>
      </c>
      <c r="I35" s="2107"/>
      <c r="J35" s="2107"/>
      <c r="K35" s="2107"/>
      <c r="L35" s="2107"/>
      <c r="M35" s="2107"/>
      <c r="N35" s="2107"/>
      <c r="O35" s="2107"/>
      <c r="P35" s="2114">
        <v>0</v>
      </c>
      <c r="Q35" s="2115"/>
      <c r="R35" s="2115"/>
      <c r="S35" s="2115"/>
      <c r="T35" s="2116">
        <f>ROUND(IPMT(($AA$3%+0.35%)/11,1,$D$171-$D$28+1,$P$172-(SUM($P$4:P34)))*-1,2)</f>
        <v>3536.35</v>
      </c>
      <c r="U35" s="2116"/>
      <c r="V35" s="2116"/>
      <c r="W35" s="2116"/>
      <c r="Y35" s="471"/>
      <c r="Z35" s="471"/>
    </row>
    <row r="36" spans="1:26" ht="14.1" customHeight="1">
      <c r="A36" s="2112">
        <v>33</v>
      </c>
      <c r="B36" s="2113"/>
      <c r="C36" s="2113"/>
      <c r="D36" s="2107">
        <f t="shared" si="2"/>
        <v>2016</v>
      </c>
      <c r="E36" s="2107"/>
      <c r="F36" s="2107"/>
      <c r="G36" s="2107"/>
      <c r="H36" s="2107" t="s">
        <v>314</v>
      </c>
      <c r="I36" s="2107"/>
      <c r="J36" s="2107"/>
      <c r="K36" s="2107"/>
      <c r="L36" s="2107"/>
      <c r="M36" s="2107"/>
      <c r="N36" s="2107"/>
      <c r="O36" s="2107"/>
      <c r="P36" s="2114">
        <v>0</v>
      </c>
      <c r="Q36" s="2115"/>
      <c r="R36" s="2115"/>
      <c r="S36" s="2115"/>
      <c r="T36" s="2116">
        <f>ROUND(IPMT(($AA$3%+0.35%)/11,1,$D$171-$D$28+1,$P$172-(SUM($P$4:P35)))*-1,2)</f>
        <v>3536.35</v>
      </c>
      <c r="U36" s="2116"/>
      <c r="V36" s="2116"/>
      <c r="W36" s="2116"/>
      <c r="Y36" s="471"/>
      <c r="Z36" s="471"/>
    </row>
    <row r="37" spans="1:26" ht="14.1" customHeight="1">
      <c r="A37" s="2112">
        <v>34</v>
      </c>
      <c r="B37" s="2113"/>
      <c r="C37" s="2113"/>
      <c r="D37" s="2107">
        <f t="shared" si="2"/>
        <v>2016</v>
      </c>
      <c r="E37" s="2107"/>
      <c r="F37" s="2107"/>
      <c r="G37" s="2107"/>
      <c r="H37" s="2107" t="s">
        <v>315</v>
      </c>
      <c r="I37" s="2107"/>
      <c r="J37" s="2107"/>
      <c r="K37" s="2107"/>
      <c r="L37" s="2107"/>
      <c r="M37" s="2107"/>
      <c r="N37" s="2107"/>
      <c r="O37" s="2107"/>
      <c r="P37" s="2114">
        <v>0</v>
      </c>
      <c r="Q37" s="2115"/>
      <c r="R37" s="2115"/>
      <c r="S37" s="2115"/>
      <c r="T37" s="2116">
        <f>ROUND(IPMT(($AA$3%+0.35%)/11,1,$D$171-$D$28+1,$P$172-(SUM($P$4:P36)))*-1,2)</f>
        <v>3536.35</v>
      </c>
      <c r="U37" s="2116"/>
      <c r="V37" s="2116"/>
      <c r="W37" s="2116"/>
      <c r="Y37" s="471"/>
      <c r="Z37" s="471"/>
    </row>
    <row r="38" spans="1:26" s="477" customFormat="1" ht="14.1" customHeight="1">
      <c r="A38" s="2143">
        <v>35</v>
      </c>
      <c r="B38" s="2144"/>
      <c r="C38" s="2144"/>
      <c r="D38" s="2145">
        <f t="shared" si="2"/>
        <v>2016</v>
      </c>
      <c r="E38" s="2145"/>
      <c r="F38" s="2145"/>
      <c r="G38" s="2145"/>
      <c r="H38" s="2145" t="s">
        <v>316</v>
      </c>
      <c r="I38" s="2145"/>
      <c r="J38" s="2145"/>
      <c r="K38" s="2145"/>
      <c r="L38" s="2145"/>
      <c r="M38" s="2145"/>
      <c r="N38" s="2145"/>
      <c r="O38" s="2145"/>
      <c r="P38" s="2146">
        <f>'HSZ do groszy'!O29</f>
        <v>54872</v>
      </c>
      <c r="Q38" s="2147"/>
      <c r="R38" s="2147"/>
      <c r="S38" s="2147"/>
      <c r="T38" s="2148">
        <f>ROUND(IPMT(($AA$3%+0.35%)/11,1,$D$171-$D$28+1,$P$172-(SUM($P$4:P37)))*-1,2)</f>
        <v>3536.35</v>
      </c>
      <c r="U38" s="2148"/>
      <c r="V38" s="2148"/>
      <c r="W38" s="2148"/>
      <c r="Y38" s="478"/>
      <c r="Z38" s="478"/>
    </row>
    <row r="39" spans="1:26" ht="14.1" customHeight="1">
      <c r="A39" s="2112">
        <v>36</v>
      </c>
      <c r="B39" s="2113"/>
      <c r="C39" s="2113"/>
      <c r="D39" s="2107">
        <f t="shared" si="2"/>
        <v>2016</v>
      </c>
      <c r="E39" s="2107"/>
      <c r="F39" s="2107"/>
      <c r="G39" s="2107"/>
      <c r="H39" s="2107" t="s">
        <v>317</v>
      </c>
      <c r="I39" s="2107"/>
      <c r="J39" s="2107"/>
      <c r="K39" s="2107"/>
      <c r="L39" s="2107"/>
      <c r="M39" s="2107"/>
      <c r="N39" s="2107"/>
      <c r="O39" s="2107"/>
      <c r="P39" s="2114">
        <v>0</v>
      </c>
      <c r="Q39" s="2115"/>
      <c r="R39" s="2115"/>
      <c r="S39" s="2115"/>
      <c r="T39" s="2116">
        <f>ROUND(IPMT(($AA$3%+0.35%)/11,1,$D$171-$D$28+1,$P$172-(SUM($P$4:P38)))*-1,2)</f>
        <v>3182.17</v>
      </c>
      <c r="U39" s="2116"/>
      <c r="V39" s="2116"/>
      <c r="W39" s="2116"/>
      <c r="Y39" s="474">
        <f>SUM(T28:W39)</f>
        <v>42082.01999999999</v>
      </c>
    </row>
    <row r="40" spans="1:26" ht="14.1" customHeight="1">
      <c r="A40" s="2112">
        <v>37</v>
      </c>
      <c r="B40" s="2113"/>
      <c r="C40" s="2113"/>
      <c r="D40" s="2107">
        <f>D28+1</f>
        <v>2017</v>
      </c>
      <c r="E40" s="2107"/>
      <c r="F40" s="2107"/>
      <c r="G40" s="2107"/>
      <c r="H40" s="2107" t="s">
        <v>306</v>
      </c>
      <c r="I40" s="2107"/>
      <c r="J40" s="2107"/>
      <c r="K40" s="2107"/>
      <c r="L40" s="2107"/>
      <c r="M40" s="2107"/>
      <c r="N40" s="2107"/>
      <c r="O40" s="2107"/>
      <c r="P40" s="2114">
        <v>0</v>
      </c>
      <c r="Q40" s="2115"/>
      <c r="R40" s="2115"/>
      <c r="S40" s="2115"/>
      <c r="T40" s="2116">
        <f>ROUND(IPMT(($AA$3%+0.35%)/11,1,$D$171-$D$28+1,$P$172-(SUM($P$4:P39)))*-1,2)</f>
        <v>3182.17</v>
      </c>
      <c r="U40" s="2116"/>
      <c r="V40" s="2116"/>
      <c r="W40" s="2116"/>
      <c r="Y40" s="471"/>
      <c r="Z40" s="471"/>
    </row>
    <row r="41" spans="1:26" ht="14.1" customHeight="1">
      <c r="A41" s="2112">
        <v>38</v>
      </c>
      <c r="B41" s="2113"/>
      <c r="C41" s="2113"/>
      <c r="D41" s="2107">
        <f>$D$40</f>
        <v>2017</v>
      </c>
      <c r="E41" s="2107"/>
      <c r="F41" s="2107"/>
      <c r="G41" s="2107"/>
      <c r="H41" s="2107" t="s">
        <v>307</v>
      </c>
      <c r="I41" s="2107"/>
      <c r="J41" s="2107"/>
      <c r="K41" s="2107"/>
      <c r="L41" s="2107"/>
      <c r="M41" s="2107"/>
      <c r="N41" s="2107"/>
      <c r="O41" s="2107"/>
      <c r="P41" s="2114">
        <v>0</v>
      </c>
      <c r="Q41" s="2115"/>
      <c r="R41" s="2115"/>
      <c r="S41" s="2115"/>
      <c r="T41" s="2116">
        <f>ROUND(IPMT(($AA$3%+0.35%)/11,1,$D$171-$D$40+1,$P$172-(SUM($P$4:P40)))*-1,2)</f>
        <v>3182.17</v>
      </c>
      <c r="U41" s="2116"/>
      <c r="V41" s="2116"/>
      <c r="W41" s="2116"/>
      <c r="Y41" s="471"/>
      <c r="Z41" s="471"/>
    </row>
    <row r="42" spans="1:26" ht="14.1" customHeight="1">
      <c r="A42" s="2112">
        <v>39</v>
      </c>
      <c r="B42" s="2113"/>
      <c r="C42" s="2113"/>
      <c r="D42" s="2107">
        <f t="shared" ref="D42:D51" si="3">$D$40</f>
        <v>2017</v>
      </c>
      <c r="E42" s="2107"/>
      <c r="F42" s="2107"/>
      <c r="G42" s="2107"/>
      <c r="H42" s="2107" t="s">
        <v>308</v>
      </c>
      <c r="I42" s="2107"/>
      <c r="J42" s="2107"/>
      <c r="K42" s="2107"/>
      <c r="L42" s="2107"/>
      <c r="M42" s="2107"/>
      <c r="N42" s="2107"/>
      <c r="O42" s="2107"/>
      <c r="P42" s="2114">
        <v>0</v>
      </c>
      <c r="Q42" s="2115"/>
      <c r="R42" s="2115"/>
      <c r="S42" s="2115"/>
      <c r="T42" s="2116">
        <f>ROUND(IPMT(($AA$3%+0.35%)/11,1,$D$171-$D$40+1,$P$172-(SUM($P$4:P41)))*-1,2)</f>
        <v>3182.17</v>
      </c>
      <c r="U42" s="2116"/>
      <c r="V42" s="2116"/>
      <c r="W42" s="2116"/>
      <c r="Y42" s="471"/>
      <c r="Z42" s="471"/>
    </row>
    <row r="43" spans="1:26" ht="14.1" customHeight="1">
      <c r="A43" s="2112">
        <v>40</v>
      </c>
      <c r="B43" s="2113"/>
      <c r="C43" s="2113"/>
      <c r="D43" s="2107">
        <f t="shared" si="3"/>
        <v>2017</v>
      </c>
      <c r="E43" s="2107"/>
      <c r="F43" s="2107"/>
      <c r="G43" s="2107"/>
      <c r="H43" s="2107" t="s">
        <v>309</v>
      </c>
      <c r="I43" s="2107"/>
      <c r="J43" s="2107"/>
      <c r="K43" s="2107"/>
      <c r="L43" s="2107"/>
      <c r="M43" s="2107"/>
      <c r="N43" s="2107"/>
      <c r="O43" s="2107"/>
      <c r="P43" s="2114">
        <v>0</v>
      </c>
      <c r="Q43" s="2115"/>
      <c r="R43" s="2115"/>
      <c r="S43" s="2115"/>
      <c r="T43" s="2116">
        <f>ROUND(IPMT(($AA$3%+0.35%)/11,1,$D$171-$D$40+1,$P$172-(SUM($P$4:P42)))*-1,2)</f>
        <v>3182.17</v>
      </c>
      <c r="U43" s="2116"/>
      <c r="V43" s="2116"/>
      <c r="W43" s="2116"/>
      <c r="Y43" s="471"/>
      <c r="Z43" s="471"/>
    </row>
    <row r="44" spans="1:26" ht="14.1" customHeight="1">
      <c r="A44" s="2112">
        <v>41</v>
      </c>
      <c r="B44" s="2113"/>
      <c r="C44" s="2113"/>
      <c r="D44" s="2107">
        <f t="shared" si="3"/>
        <v>2017</v>
      </c>
      <c r="E44" s="2107"/>
      <c r="F44" s="2107"/>
      <c r="G44" s="2107"/>
      <c r="H44" s="2107" t="s">
        <v>310</v>
      </c>
      <c r="I44" s="2107"/>
      <c r="J44" s="2107"/>
      <c r="K44" s="2107"/>
      <c r="L44" s="2107"/>
      <c r="M44" s="2107"/>
      <c r="N44" s="2107"/>
      <c r="O44" s="2107"/>
      <c r="P44" s="2114">
        <v>0</v>
      </c>
      <c r="Q44" s="2115"/>
      <c r="R44" s="2115"/>
      <c r="S44" s="2115"/>
      <c r="T44" s="2116">
        <f>ROUND(IPMT(($AA$3%+0.35%)/11,1,$D$171-$D$40+1,$P$172-(SUM($P$4:P43)))*-1,2)</f>
        <v>3182.17</v>
      </c>
      <c r="U44" s="2116"/>
      <c r="V44" s="2116"/>
      <c r="W44" s="2116"/>
      <c r="Y44" s="471"/>
      <c r="Z44" s="471"/>
    </row>
    <row r="45" spans="1:26" ht="14.1" customHeight="1">
      <c r="A45" s="2112">
        <v>42</v>
      </c>
      <c r="B45" s="2113"/>
      <c r="C45" s="2113"/>
      <c r="D45" s="2107">
        <f t="shared" si="3"/>
        <v>2017</v>
      </c>
      <c r="E45" s="2107"/>
      <c r="F45" s="2107"/>
      <c r="G45" s="2107"/>
      <c r="H45" s="2107" t="s">
        <v>311</v>
      </c>
      <c r="I45" s="2107"/>
      <c r="J45" s="2107"/>
      <c r="K45" s="2107"/>
      <c r="L45" s="2107"/>
      <c r="M45" s="2107"/>
      <c r="N45" s="2107"/>
      <c r="O45" s="2107"/>
      <c r="P45" s="2114">
        <v>0</v>
      </c>
      <c r="Q45" s="2115"/>
      <c r="R45" s="2115"/>
      <c r="S45" s="2115"/>
      <c r="T45" s="2116">
        <f>ROUND(IPMT(($AA$3%+0.35%)/11,1,$D$171-$D$40+1,$P$172-(SUM($P$4:P44)))*-1,2)</f>
        <v>3182.17</v>
      </c>
      <c r="U45" s="2116"/>
      <c r="V45" s="2116"/>
      <c r="W45" s="2116"/>
      <c r="Y45" s="471"/>
      <c r="Z45" s="471"/>
    </row>
    <row r="46" spans="1:26" ht="14.1" customHeight="1">
      <c r="A46" s="2112">
        <v>43</v>
      </c>
      <c r="B46" s="2113"/>
      <c r="C46" s="2113"/>
      <c r="D46" s="2107">
        <f t="shared" si="3"/>
        <v>2017</v>
      </c>
      <c r="E46" s="2107"/>
      <c r="F46" s="2107"/>
      <c r="G46" s="2107"/>
      <c r="H46" s="2107" t="s">
        <v>312</v>
      </c>
      <c r="I46" s="2107"/>
      <c r="J46" s="2107"/>
      <c r="K46" s="2107"/>
      <c r="L46" s="2107"/>
      <c r="M46" s="2107"/>
      <c r="N46" s="2107"/>
      <c r="O46" s="2107"/>
      <c r="P46" s="2114">
        <v>0</v>
      </c>
      <c r="Q46" s="2115"/>
      <c r="R46" s="2115"/>
      <c r="S46" s="2115"/>
      <c r="T46" s="2116">
        <f>ROUND(IPMT(($AA$3%+0.35%)/11,1,$D$171-$D$40+1,$P$172-(SUM($P$4:P45)))*-1,2)</f>
        <v>3182.17</v>
      </c>
      <c r="U46" s="2116"/>
      <c r="V46" s="2116"/>
      <c r="W46" s="2116"/>
      <c r="Y46" s="471"/>
      <c r="Z46" s="471"/>
    </row>
    <row r="47" spans="1:26" ht="14.1" customHeight="1">
      <c r="A47" s="2112">
        <v>44</v>
      </c>
      <c r="B47" s="2113"/>
      <c r="C47" s="2113"/>
      <c r="D47" s="2107">
        <f t="shared" si="3"/>
        <v>2017</v>
      </c>
      <c r="E47" s="2107"/>
      <c r="F47" s="2107"/>
      <c r="G47" s="2107"/>
      <c r="H47" s="2107" t="s">
        <v>313</v>
      </c>
      <c r="I47" s="2107"/>
      <c r="J47" s="2107"/>
      <c r="K47" s="2107"/>
      <c r="L47" s="2107"/>
      <c r="M47" s="2107"/>
      <c r="N47" s="2107"/>
      <c r="O47" s="2107"/>
      <c r="P47" s="2114">
        <v>0</v>
      </c>
      <c r="Q47" s="2115"/>
      <c r="R47" s="2115"/>
      <c r="S47" s="2115"/>
      <c r="T47" s="2116">
        <f>ROUND(IPMT(($AA$3%+0.35%)/11,1,$D$171-$D$40+1,$P$172-(SUM($P$4:P46)))*-1,2)</f>
        <v>3182.17</v>
      </c>
      <c r="U47" s="2116"/>
      <c r="V47" s="2116"/>
      <c r="W47" s="2116"/>
      <c r="Y47" s="471"/>
      <c r="Z47" s="471"/>
    </row>
    <row r="48" spans="1:26" ht="14.1" customHeight="1">
      <c r="A48" s="2112">
        <v>45</v>
      </c>
      <c r="B48" s="2113"/>
      <c r="C48" s="2113"/>
      <c r="D48" s="2107">
        <f t="shared" si="3"/>
        <v>2017</v>
      </c>
      <c r="E48" s="2107"/>
      <c r="F48" s="2107"/>
      <c r="G48" s="2107"/>
      <c r="H48" s="2107" t="s">
        <v>314</v>
      </c>
      <c r="I48" s="2107"/>
      <c r="J48" s="2107"/>
      <c r="K48" s="2107"/>
      <c r="L48" s="2107"/>
      <c r="M48" s="2107"/>
      <c r="N48" s="2107"/>
      <c r="O48" s="2107"/>
      <c r="P48" s="2114">
        <v>0</v>
      </c>
      <c r="Q48" s="2115"/>
      <c r="R48" s="2115"/>
      <c r="S48" s="2115"/>
      <c r="T48" s="2116">
        <f>ROUND(IPMT(($AA$3%+0.35%)/11,1,$D$171-$D$40+1,$P$172-(SUM($P$4:P47)))*-1,2)</f>
        <v>3182.17</v>
      </c>
      <c r="U48" s="2116"/>
      <c r="V48" s="2116"/>
      <c r="W48" s="2116"/>
      <c r="Y48" s="471"/>
      <c r="Z48" s="471"/>
    </row>
    <row r="49" spans="1:26" ht="14.1" customHeight="1">
      <c r="A49" s="2112">
        <v>46</v>
      </c>
      <c r="B49" s="2113"/>
      <c r="C49" s="2113"/>
      <c r="D49" s="2107">
        <f t="shared" si="3"/>
        <v>2017</v>
      </c>
      <c r="E49" s="2107"/>
      <c r="F49" s="2107"/>
      <c r="G49" s="2107"/>
      <c r="H49" s="2107" t="s">
        <v>315</v>
      </c>
      <c r="I49" s="2107"/>
      <c r="J49" s="2107"/>
      <c r="K49" s="2107"/>
      <c r="L49" s="2107"/>
      <c r="M49" s="2107"/>
      <c r="N49" s="2107"/>
      <c r="O49" s="2107"/>
      <c r="P49" s="2114">
        <v>0</v>
      </c>
      <c r="Q49" s="2115"/>
      <c r="R49" s="2115"/>
      <c r="S49" s="2115"/>
      <c r="T49" s="2116">
        <f>ROUND(IPMT(($AA$3%+0.35%)/11,1,$D$171-$D$40+1,$P$172-(SUM($P$4:P48)))*-1,2)</f>
        <v>3182.17</v>
      </c>
      <c r="U49" s="2116"/>
      <c r="V49" s="2116"/>
      <c r="W49" s="2116"/>
      <c r="Y49" s="471"/>
      <c r="Z49" s="471"/>
    </row>
    <row r="50" spans="1:26" s="477" customFormat="1" ht="14.1" customHeight="1">
      <c r="A50" s="2143">
        <v>47</v>
      </c>
      <c r="B50" s="2144"/>
      <c r="C50" s="2144"/>
      <c r="D50" s="2145">
        <f t="shared" si="3"/>
        <v>2017</v>
      </c>
      <c r="E50" s="2145"/>
      <c r="F50" s="2145"/>
      <c r="G50" s="2145"/>
      <c r="H50" s="2145" t="s">
        <v>316</v>
      </c>
      <c r="I50" s="2145"/>
      <c r="J50" s="2145"/>
      <c r="K50" s="2145"/>
      <c r="L50" s="2145"/>
      <c r="M50" s="2145"/>
      <c r="N50" s="2145"/>
      <c r="O50" s="2145"/>
      <c r="P50" s="2146">
        <f>'HSZ do groszy'!Q29</f>
        <v>54872</v>
      </c>
      <c r="Q50" s="2147"/>
      <c r="R50" s="2147"/>
      <c r="S50" s="2147"/>
      <c r="T50" s="2148">
        <f>ROUND(IPMT(($AA$3%+0.35%)/11,1,$D$171-$D$40+1,$P$172-(SUM($P$4:P49)))*-1,2)</f>
        <v>3182.17</v>
      </c>
      <c r="U50" s="2148"/>
      <c r="V50" s="2148"/>
      <c r="W50" s="2148"/>
      <c r="Y50" s="478"/>
      <c r="Z50" s="478"/>
    </row>
    <row r="51" spans="1:26" ht="14.1" customHeight="1">
      <c r="A51" s="2112">
        <v>48</v>
      </c>
      <c r="B51" s="2113"/>
      <c r="C51" s="2113"/>
      <c r="D51" s="2107">
        <f t="shared" si="3"/>
        <v>2017</v>
      </c>
      <c r="E51" s="2107"/>
      <c r="F51" s="2107"/>
      <c r="G51" s="2107"/>
      <c r="H51" s="2107" t="s">
        <v>317</v>
      </c>
      <c r="I51" s="2107"/>
      <c r="J51" s="2107"/>
      <c r="K51" s="2107"/>
      <c r="L51" s="2107"/>
      <c r="M51" s="2107"/>
      <c r="N51" s="2107"/>
      <c r="O51" s="2107"/>
      <c r="P51" s="2114">
        <v>0</v>
      </c>
      <c r="Q51" s="2115"/>
      <c r="R51" s="2115"/>
      <c r="S51" s="2115"/>
      <c r="T51" s="2116">
        <f>ROUND(IPMT(($AA$3%+0.35%)/11,1,$D$171-$D$40+1,$P$172-(SUM($P$4:P50)))*-1,2)</f>
        <v>2828</v>
      </c>
      <c r="U51" s="2116"/>
      <c r="V51" s="2116"/>
      <c r="W51" s="2116"/>
      <c r="Y51" s="474">
        <f>SUM(T40:W51)</f>
        <v>37831.869999999995</v>
      </c>
    </row>
    <row r="52" spans="1:26" ht="14.1" customHeight="1">
      <c r="A52" s="2112">
        <v>49</v>
      </c>
      <c r="B52" s="2113"/>
      <c r="C52" s="2113"/>
      <c r="D52" s="2107">
        <f>D40+1</f>
        <v>2018</v>
      </c>
      <c r="E52" s="2107"/>
      <c r="F52" s="2107"/>
      <c r="G52" s="2107"/>
      <c r="H52" s="2107" t="s">
        <v>306</v>
      </c>
      <c r="I52" s="2107"/>
      <c r="J52" s="2107"/>
      <c r="K52" s="2107"/>
      <c r="L52" s="2107"/>
      <c r="M52" s="2107"/>
      <c r="N52" s="2107"/>
      <c r="O52" s="2107"/>
      <c r="P52" s="2114">
        <v>0</v>
      </c>
      <c r="Q52" s="2115"/>
      <c r="R52" s="2115"/>
      <c r="S52" s="2115"/>
      <c r="T52" s="2116">
        <f>ROUND(IPMT(($AA$3%+0.35%)/11,1,$D$171-$D$40+1,$P$172-(SUM($P$4:P51)))*-1,2)</f>
        <v>2828</v>
      </c>
      <c r="U52" s="2116"/>
      <c r="V52" s="2116"/>
      <c r="W52" s="2116"/>
      <c r="Y52" s="471"/>
      <c r="Z52" s="471"/>
    </row>
    <row r="53" spans="1:26" ht="14.1" customHeight="1">
      <c r="A53" s="2112">
        <v>50</v>
      </c>
      <c r="B53" s="2113"/>
      <c r="C53" s="2113"/>
      <c r="D53" s="2107">
        <f>$D$52</f>
        <v>2018</v>
      </c>
      <c r="E53" s="2107"/>
      <c r="F53" s="2107"/>
      <c r="G53" s="2107"/>
      <c r="H53" s="2107" t="s">
        <v>307</v>
      </c>
      <c r="I53" s="2107"/>
      <c r="J53" s="2107"/>
      <c r="K53" s="2107"/>
      <c r="L53" s="2107"/>
      <c r="M53" s="2107"/>
      <c r="N53" s="2107"/>
      <c r="O53" s="2107"/>
      <c r="P53" s="2114">
        <v>0</v>
      </c>
      <c r="Q53" s="2115"/>
      <c r="R53" s="2115"/>
      <c r="S53" s="2115"/>
      <c r="T53" s="2116">
        <f>ROUND(IPMT(($AA$3%+0.35%)/11,1,$D$171-$D$52+1,$P$172-(SUM($P$4:P52)))*-1,2)</f>
        <v>2828</v>
      </c>
      <c r="U53" s="2116"/>
      <c r="V53" s="2116"/>
      <c r="W53" s="2116"/>
      <c r="Y53" s="471"/>
      <c r="Z53" s="471"/>
    </row>
    <row r="54" spans="1:26" ht="14.1" customHeight="1">
      <c r="A54" s="2112">
        <v>51</v>
      </c>
      <c r="B54" s="2113"/>
      <c r="C54" s="2113"/>
      <c r="D54" s="2107">
        <f t="shared" ref="D54:D63" si="4">$D$52</f>
        <v>2018</v>
      </c>
      <c r="E54" s="2107"/>
      <c r="F54" s="2107"/>
      <c r="G54" s="2107"/>
      <c r="H54" s="2107" t="s">
        <v>308</v>
      </c>
      <c r="I54" s="2107"/>
      <c r="J54" s="2107"/>
      <c r="K54" s="2107"/>
      <c r="L54" s="2107"/>
      <c r="M54" s="2107"/>
      <c r="N54" s="2107"/>
      <c r="O54" s="2107"/>
      <c r="P54" s="2114">
        <v>0</v>
      </c>
      <c r="Q54" s="2115"/>
      <c r="R54" s="2115"/>
      <c r="S54" s="2115"/>
      <c r="T54" s="2116">
        <f>ROUND(IPMT(($AA$3%+0.35%)/11,1,$D$171-$D$52+1,$P$172-(SUM($P$4:P53)))*-1,2)</f>
        <v>2828</v>
      </c>
      <c r="U54" s="2116"/>
      <c r="V54" s="2116"/>
      <c r="W54" s="2116"/>
      <c r="Y54" s="471"/>
      <c r="Z54" s="471"/>
    </row>
    <row r="55" spans="1:26" ht="14.1" customHeight="1">
      <c r="A55" s="2112">
        <v>52</v>
      </c>
      <c r="B55" s="2113"/>
      <c r="C55" s="2113"/>
      <c r="D55" s="2107">
        <f t="shared" si="4"/>
        <v>2018</v>
      </c>
      <c r="E55" s="2107"/>
      <c r="F55" s="2107"/>
      <c r="G55" s="2107"/>
      <c r="H55" s="2107" t="s">
        <v>309</v>
      </c>
      <c r="I55" s="2107"/>
      <c r="J55" s="2107"/>
      <c r="K55" s="2107"/>
      <c r="L55" s="2107"/>
      <c r="M55" s="2107"/>
      <c r="N55" s="2107"/>
      <c r="O55" s="2107"/>
      <c r="P55" s="2114">
        <v>0</v>
      </c>
      <c r="Q55" s="2115"/>
      <c r="R55" s="2115"/>
      <c r="S55" s="2115"/>
      <c r="T55" s="2116">
        <f>ROUND(IPMT(($AA$3%+0.35%)/11,1,$D$171-$D$52+1,$P$172-(SUM($P$4:P54)))*-1,2)</f>
        <v>2828</v>
      </c>
      <c r="U55" s="2116"/>
      <c r="V55" s="2116"/>
      <c r="W55" s="2116"/>
      <c r="Y55" s="471"/>
      <c r="Z55" s="471"/>
    </row>
    <row r="56" spans="1:26" ht="14.1" customHeight="1">
      <c r="A56" s="2112">
        <v>53</v>
      </c>
      <c r="B56" s="2113"/>
      <c r="C56" s="2113"/>
      <c r="D56" s="2107">
        <f t="shared" si="4"/>
        <v>2018</v>
      </c>
      <c r="E56" s="2107"/>
      <c r="F56" s="2107"/>
      <c r="G56" s="2107"/>
      <c r="H56" s="2107" t="s">
        <v>310</v>
      </c>
      <c r="I56" s="2107"/>
      <c r="J56" s="2107"/>
      <c r="K56" s="2107"/>
      <c r="L56" s="2107"/>
      <c r="M56" s="2107"/>
      <c r="N56" s="2107"/>
      <c r="O56" s="2107"/>
      <c r="P56" s="2114">
        <v>0</v>
      </c>
      <c r="Q56" s="2115"/>
      <c r="R56" s="2115"/>
      <c r="S56" s="2115"/>
      <c r="T56" s="2116">
        <f>ROUND(IPMT(($AA$3%+0.35%)/11,1,$D$171-$D$52+1,$P$172-(SUM($P$4:P55)))*-1,2)</f>
        <v>2828</v>
      </c>
      <c r="U56" s="2116"/>
      <c r="V56" s="2116"/>
      <c r="W56" s="2116"/>
      <c r="Y56" s="471"/>
      <c r="Z56" s="471"/>
    </row>
    <row r="57" spans="1:26" ht="14.1" customHeight="1">
      <c r="A57" s="2112">
        <v>54</v>
      </c>
      <c r="B57" s="2113"/>
      <c r="C57" s="2113"/>
      <c r="D57" s="2107">
        <f t="shared" si="4"/>
        <v>2018</v>
      </c>
      <c r="E57" s="2107"/>
      <c r="F57" s="2107"/>
      <c r="G57" s="2107"/>
      <c r="H57" s="2107" t="s">
        <v>311</v>
      </c>
      <c r="I57" s="2107"/>
      <c r="J57" s="2107"/>
      <c r="K57" s="2107"/>
      <c r="L57" s="2107"/>
      <c r="M57" s="2107"/>
      <c r="N57" s="2107"/>
      <c r="O57" s="2107"/>
      <c r="P57" s="2114">
        <v>0</v>
      </c>
      <c r="Q57" s="2115"/>
      <c r="R57" s="2115"/>
      <c r="S57" s="2115"/>
      <c r="T57" s="2116">
        <f>ROUND(IPMT(($AA$3%+0.35%)/11,1,$D$171-$D$52+1,$P$172-(SUM($P$4:P56)))*-1,2)</f>
        <v>2828</v>
      </c>
      <c r="U57" s="2116"/>
      <c r="V57" s="2116"/>
      <c r="W57" s="2116"/>
      <c r="Y57" s="471"/>
      <c r="Z57" s="471"/>
    </row>
    <row r="58" spans="1:26" ht="14.1" customHeight="1">
      <c r="A58" s="2112">
        <v>55</v>
      </c>
      <c r="B58" s="2113"/>
      <c r="C58" s="2113"/>
      <c r="D58" s="2107">
        <f t="shared" si="4"/>
        <v>2018</v>
      </c>
      <c r="E58" s="2107"/>
      <c r="F58" s="2107"/>
      <c r="G58" s="2107"/>
      <c r="H58" s="2107" t="s">
        <v>312</v>
      </c>
      <c r="I58" s="2107"/>
      <c r="J58" s="2107"/>
      <c r="K58" s="2107"/>
      <c r="L58" s="2107"/>
      <c r="M58" s="2107"/>
      <c r="N58" s="2107"/>
      <c r="O58" s="2107"/>
      <c r="P58" s="2114">
        <v>0</v>
      </c>
      <c r="Q58" s="2115"/>
      <c r="R58" s="2115"/>
      <c r="S58" s="2115"/>
      <c r="T58" s="2116">
        <f>ROUND(IPMT(($AA$3%+0.35%)/11,1,$D$171-$D$52+1,$P$172-(SUM($P$4:P57)))*-1,2)</f>
        <v>2828</v>
      </c>
      <c r="U58" s="2116"/>
      <c r="V58" s="2116"/>
      <c r="W58" s="2116"/>
      <c r="Y58" s="471"/>
      <c r="Z58" s="471"/>
    </row>
    <row r="59" spans="1:26" ht="14.1" customHeight="1">
      <c r="A59" s="2112">
        <v>56</v>
      </c>
      <c r="B59" s="2113"/>
      <c r="C59" s="2113"/>
      <c r="D59" s="2107">
        <f t="shared" si="4"/>
        <v>2018</v>
      </c>
      <c r="E59" s="2107"/>
      <c r="F59" s="2107"/>
      <c r="G59" s="2107"/>
      <c r="H59" s="2107" t="s">
        <v>313</v>
      </c>
      <c r="I59" s="2107"/>
      <c r="J59" s="2107"/>
      <c r="K59" s="2107"/>
      <c r="L59" s="2107"/>
      <c r="M59" s="2107"/>
      <c r="N59" s="2107"/>
      <c r="O59" s="2107"/>
      <c r="P59" s="2114">
        <v>0</v>
      </c>
      <c r="Q59" s="2115"/>
      <c r="R59" s="2115"/>
      <c r="S59" s="2115"/>
      <c r="T59" s="2116">
        <f>ROUND(IPMT(($AA$3%+0.35%)/11,1,$D$171-$D$52+1,$P$172-(SUM($P$4:P58)))*-1,2)</f>
        <v>2828</v>
      </c>
      <c r="U59" s="2116"/>
      <c r="V59" s="2116"/>
      <c r="W59" s="2116"/>
      <c r="Y59" s="471"/>
      <c r="Z59" s="471"/>
    </row>
    <row r="60" spans="1:26" ht="14.1" customHeight="1">
      <c r="A60" s="2112">
        <v>57</v>
      </c>
      <c r="B60" s="2113"/>
      <c r="C60" s="2113"/>
      <c r="D60" s="2107">
        <f t="shared" si="4"/>
        <v>2018</v>
      </c>
      <c r="E60" s="2107"/>
      <c r="F60" s="2107"/>
      <c r="G60" s="2107"/>
      <c r="H60" s="2107" t="s">
        <v>314</v>
      </c>
      <c r="I60" s="2107"/>
      <c r="J60" s="2107"/>
      <c r="K60" s="2107"/>
      <c r="L60" s="2107"/>
      <c r="M60" s="2107"/>
      <c r="N60" s="2107"/>
      <c r="O60" s="2107"/>
      <c r="P60" s="2114">
        <v>0</v>
      </c>
      <c r="Q60" s="2115"/>
      <c r="R60" s="2115"/>
      <c r="S60" s="2115"/>
      <c r="T60" s="2116">
        <f>ROUND(IPMT(($AA$3%+0.35%)/11,1,$D$171-$D$52+1,$P$172-(SUM($P$4:P59)))*-1,2)</f>
        <v>2828</v>
      </c>
      <c r="U60" s="2116"/>
      <c r="V60" s="2116"/>
      <c r="W60" s="2116"/>
      <c r="Y60" s="471"/>
      <c r="Z60" s="471"/>
    </row>
    <row r="61" spans="1:26" ht="14.1" customHeight="1">
      <c r="A61" s="2112">
        <v>58</v>
      </c>
      <c r="B61" s="2113"/>
      <c r="C61" s="2113"/>
      <c r="D61" s="2107">
        <f t="shared" si="4"/>
        <v>2018</v>
      </c>
      <c r="E61" s="2107"/>
      <c r="F61" s="2107"/>
      <c r="G61" s="2107"/>
      <c r="H61" s="2107" t="s">
        <v>315</v>
      </c>
      <c r="I61" s="2107"/>
      <c r="J61" s="2107"/>
      <c r="K61" s="2107"/>
      <c r="L61" s="2107"/>
      <c r="M61" s="2107"/>
      <c r="N61" s="2107"/>
      <c r="O61" s="2107"/>
      <c r="P61" s="2114">
        <v>0</v>
      </c>
      <c r="Q61" s="2115"/>
      <c r="R61" s="2115"/>
      <c r="S61" s="2115"/>
      <c r="T61" s="2116">
        <f>ROUND(IPMT(($AA$3%+0.35%)/11,1,$D$171-$D$52+1,$P$172-(SUM($P$4:P60)))*-1,2)</f>
        <v>2828</v>
      </c>
      <c r="U61" s="2116"/>
      <c r="V61" s="2116"/>
      <c r="W61" s="2116"/>
      <c r="Y61" s="471"/>
      <c r="Z61" s="471"/>
    </row>
    <row r="62" spans="1:26" s="477" customFormat="1" ht="14.1" customHeight="1">
      <c r="A62" s="2143">
        <v>59</v>
      </c>
      <c r="B62" s="2144"/>
      <c r="C62" s="2144"/>
      <c r="D62" s="2145">
        <f t="shared" si="4"/>
        <v>2018</v>
      </c>
      <c r="E62" s="2145"/>
      <c r="F62" s="2145"/>
      <c r="G62" s="2145"/>
      <c r="H62" s="2145" t="s">
        <v>316</v>
      </c>
      <c r="I62" s="2145"/>
      <c r="J62" s="2145"/>
      <c r="K62" s="2145"/>
      <c r="L62" s="2145"/>
      <c r="M62" s="2145"/>
      <c r="N62" s="2145"/>
      <c r="O62" s="2145"/>
      <c r="P62" s="2146">
        <f>'HSZ do groszy'!S29</f>
        <v>54872</v>
      </c>
      <c r="Q62" s="2147"/>
      <c r="R62" s="2147"/>
      <c r="S62" s="2147"/>
      <c r="T62" s="2148">
        <f>ROUND(IPMT(($AA$3%+0.35%)/11,1,$D$171-$D$52+1,$P$172-(SUM($P$4:P61)))*-1,2)</f>
        <v>2828</v>
      </c>
      <c r="U62" s="2148"/>
      <c r="V62" s="2148"/>
      <c r="W62" s="2148"/>
      <c r="Y62" s="478"/>
      <c r="Z62" s="478"/>
    </row>
    <row r="63" spans="1:26" ht="14.1" customHeight="1">
      <c r="A63" s="2112">
        <v>60</v>
      </c>
      <c r="B63" s="2113"/>
      <c r="C63" s="2113"/>
      <c r="D63" s="2107">
        <f t="shared" si="4"/>
        <v>2018</v>
      </c>
      <c r="E63" s="2107"/>
      <c r="F63" s="2107"/>
      <c r="G63" s="2107"/>
      <c r="H63" s="2107" t="s">
        <v>317</v>
      </c>
      <c r="I63" s="2107"/>
      <c r="J63" s="2107"/>
      <c r="K63" s="2107"/>
      <c r="L63" s="2107"/>
      <c r="M63" s="2107"/>
      <c r="N63" s="2107"/>
      <c r="O63" s="2107"/>
      <c r="P63" s="2114">
        <v>0</v>
      </c>
      <c r="Q63" s="2115"/>
      <c r="R63" s="2115"/>
      <c r="S63" s="2115"/>
      <c r="T63" s="2116">
        <f>ROUND(IPMT(($AA$3%+0.35%)/11,1,$D$171-$D$52+1,$P$172-(SUM($P$4:P62)))*-1,2)</f>
        <v>2473.83</v>
      </c>
      <c r="U63" s="2116"/>
      <c r="V63" s="2116"/>
      <c r="W63" s="2116"/>
      <c r="Y63" s="474">
        <f>SUM(T52:W63)</f>
        <v>33581.83</v>
      </c>
    </row>
    <row r="64" spans="1:26" ht="14.1" customHeight="1">
      <c r="A64" s="2112">
        <v>13</v>
      </c>
      <c r="B64" s="2113"/>
      <c r="C64" s="2113"/>
      <c r="D64" s="2107">
        <f>D52+1</f>
        <v>2019</v>
      </c>
      <c r="E64" s="2107"/>
      <c r="F64" s="2107"/>
      <c r="G64" s="2107"/>
      <c r="H64" s="2107" t="s">
        <v>306</v>
      </c>
      <c r="I64" s="2107"/>
      <c r="J64" s="2107"/>
      <c r="K64" s="2107"/>
      <c r="L64" s="2107"/>
      <c r="M64" s="2107"/>
      <c r="N64" s="2107"/>
      <c r="O64" s="2107"/>
      <c r="P64" s="2114">
        <v>0</v>
      </c>
      <c r="Q64" s="2115"/>
      <c r="R64" s="2115"/>
      <c r="S64" s="2115"/>
      <c r="T64" s="2116">
        <f>ROUND(IPMT(($AA$3%+0.35%)/11,1,$D$171-$D$52+1,$P$172-(SUM($P$4:P63)))*-1,2)</f>
        <v>2473.83</v>
      </c>
      <c r="U64" s="2116"/>
      <c r="V64" s="2116"/>
      <c r="W64" s="2116"/>
      <c r="Y64" s="471"/>
      <c r="Z64" s="471"/>
    </row>
    <row r="65" spans="1:26" ht="14.1" customHeight="1">
      <c r="A65" s="2112">
        <v>14</v>
      </c>
      <c r="B65" s="2113"/>
      <c r="C65" s="2113"/>
      <c r="D65" s="2107">
        <f>$D$64</f>
        <v>2019</v>
      </c>
      <c r="E65" s="2107"/>
      <c r="F65" s="2107"/>
      <c r="G65" s="2107"/>
      <c r="H65" s="2107" t="s">
        <v>307</v>
      </c>
      <c r="I65" s="2107"/>
      <c r="J65" s="2107"/>
      <c r="K65" s="2107"/>
      <c r="L65" s="2107"/>
      <c r="M65" s="2107"/>
      <c r="N65" s="2107"/>
      <c r="O65" s="2107"/>
      <c r="P65" s="2114">
        <v>0</v>
      </c>
      <c r="Q65" s="2115"/>
      <c r="R65" s="2115"/>
      <c r="S65" s="2115"/>
      <c r="T65" s="2116">
        <f>ROUND(IPMT(($AA$3%+0.35%)/11,1,$D$171-$D$64+1,$P$172-(SUM($P$4:P64)))*-1,2)</f>
        <v>2473.83</v>
      </c>
      <c r="U65" s="2116"/>
      <c r="V65" s="2116"/>
      <c r="W65" s="2116"/>
      <c r="Y65" s="471"/>
      <c r="Z65" s="471"/>
    </row>
    <row r="66" spans="1:26" ht="14.1" customHeight="1">
      <c r="A66" s="2112">
        <v>15</v>
      </c>
      <c r="B66" s="2113"/>
      <c r="C66" s="2113"/>
      <c r="D66" s="2107">
        <f t="shared" ref="D66:D75" si="5">$D$64</f>
        <v>2019</v>
      </c>
      <c r="E66" s="2107"/>
      <c r="F66" s="2107"/>
      <c r="G66" s="2107"/>
      <c r="H66" s="2107" t="s">
        <v>308</v>
      </c>
      <c r="I66" s="2107"/>
      <c r="J66" s="2107"/>
      <c r="K66" s="2107"/>
      <c r="L66" s="2107"/>
      <c r="M66" s="2107"/>
      <c r="N66" s="2107"/>
      <c r="O66" s="2107"/>
      <c r="P66" s="2114">
        <v>0</v>
      </c>
      <c r="Q66" s="2115"/>
      <c r="R66" s="2115"/>
      <c r="S66" s="2115"/>
      <c r="T66" s="2116">
        <f>ROUND(IPMT(($AA$3%+0.35%)/11,1,$D$171-$D$64+1,$P$172-(SUM($P$4:P65)))*-1,2)</f>
        <v>2473.83</v>
      </c>
      <c r="U66" s="2116"/>
      <c r="V66" s="2116"/>
      <c r="W66" s="2116"/>
      <c r="Y66" s="471"/>
      <c r="Z66" s="471"/>
    </row>
    <row r="67" spans="1:26" ht="14.1" customHeight="1">
      <c r="A67" s="2112">
        <v>16</v>
      </c>
      <c r="B67" s="2113"/>
      <c r="C67" s="2113"/>
      <c r="D67" s="2107">
        <f t="shared" si="5"/>
        <v>2019</v>
      </c>
      <c r="E67" s="2107"/>
      <c r="F67" s="2107"/>
      <c r="G67" s="2107"/>
      <c r="H67" s="2107" t="s">
        <v>309</v>
      </c>
      <c r="I67" s="2107"/>
      <c r="J67" s="2107"/>
      <c r="K67" s="2107"/>
      <c r="L67" s="2107"/>
      <c r="M67" s="2107"/>
      <c r="N67" s="2107"/>
      <c r="O67" s="2107"/>
      <c r="P67" s="2114">
        <v>0</v>
      </c>
      <c r="Q67" s="2115"/>
      <c r="R67" s="2115"/>
      <c r="S67" s="2115"/>
      <c r="T67" s="2116">
        <f>ROUND(IPMT(($AA$3%+0.35%)/11,1,$D$171-$D$64+1,$P$172-(SUM($P$4:P66)))*-1,2)</f>
        <v>2473.83</v>
      </c>
      <c r="U67" s="2116"/>
      <c r="V67" s="2116"/>
      <c r="W67" s="2116"/>
      <c r="Y67" s="471"/>
      <c r="Z67" s="471"/>
    </row>
    <row r="68" spans="1:26" ht="14.1" customHeight="1">
      <c r="A68" s="2112">
        <v>17</v>
      </c>
      <c r="B68" s="2113"/>
      <c r="C68" s="2113"/>
      <c r="D68" s="2107">
        <f t="shared" si="5"/>
        <v>2019</v>
      </c>
      <c r="E68" s="2107"/>
      <c r="F68" s="2107"/>
      <c r="G68" s="2107"/>
      <c r="H68" s="2107" t="s">
        <v>310</v>
      </c>
      <c r="I68" s="2107"/>
      <c r="J68" s="2107"/>
      <c r="K68" s="2107"/>
      <c r="L68" s="2107"/>
      <c r="M68" s="2107"/>
      <c r="N68" s="2107"/>
      <c r="O68" s="2107"/>
      <c r="P68" s="2114">
        <v>0</v>
      </c>
      <c r="Q68" s="2115"/>
      <c r="R68" s="2115"/>
      <c r="S68" s="2115"/>
      <c r="T68" s="2116">
        <f>ROUND(IPMT(($AA$3%+0.35%)/11,1,$D$171-$D$64+1,$P$172-(SUM($P$4:P67)))*-1,2)</f>
        <v>2473.83</v>
      </c>
      <c r="U68" s="2116"/>
      <c r="V68" s="2116"/>
      <c r="W68" s="2116"/>
      <c r="Y68" s="471"/>
      <c r="Z68" s="471"/>
    </row>
    <row r="69" spans="1:26" ht="14.1" customHeight="1">
      <c r="A69" s="2112">
        <v>18</v>
      </c>
      <c r="B69" s="2113"/>
      <c r="C69" s="2113"/>
      <c r="D69" s="2107">
        <f t="shared" si="5"/>
        <v>2019</v>
      </c>
      <c r="E69" s="2107"/>
      <c r="F69" s="2107"/>
      <c r="G69" s="2107"/>
      <c r="H69" s="2107" t="s">
        <v>311</v>
      </c>
      <c r="I69" s="2107"/>
      <c r="J69" s="2107"/>
      <c r="K69" s="2107"/>
      <c r="L69" s="2107"/>
      <c r="M69" s="2107"/>
      <c r="N69" s="2107"/>
      <c r="O69" s="2107"/>
      <c r="P69" s="2114">
        <v>0</v>
      </c>
      <c r="Q69" s="2115"/>
      <c r="R69" s="2115"/>
      <c r="S69" s="2115"/>
      <c r="T69" s="2116">
        <f>ROUND(IPMT(($AA$3%+0.35%)/11,1,$D$171-$D$64+1,$P$172-(SUM($P$4:P68)))*-1,2)</f>
        <v>2473.83</v>
      </c>
      <c r="U69" s="2116"/>
      <c r="V69" s="2116"/>
      <c r="W69" s="2116"/>
      <c r="Y69" s="471"/>
      <c r="Z69" s="471"/>
    </row>
    <row r="70" spans="1:26" ht="14.1" customHeight="1">
      <c r="A70" s="2112">
        <v>19</v>
      </c>
      <c r="B70" s="2113"/>
      <c r="C70" s="2113"/>
      <c r="D70" s="2107">
        <f t="shared" si="5"/>
        <v>2019</v>
      </c>
      <c r="E70" s="2107"/>
      <c r="F70" s="2107"/>
      <c r="G70" s="2107"/>
      <c r="H70" s="2107" t="s">
        <v>312</v>
      </c>
      <c r="I70" s="2107"/>
      <c r="J70" s="2107"/>
      <c r="K70" s="2107"/>
      <c r="L70" s="2107"/>
      <c r="M70" s="2107"/>
      <c r="N70" s="2107"/>
      <c r="O70" s="2107"/>
      <c r="P70" s="2114">
        <v>0</v>
      </c>
      <c r="Q70" s="2115"/>
      <c r="R70" s="2115"/>
      <c r="S70" s="2115"/>
      <c r="T70" s="2116">
        <f>ROUND(IPMT(($AA$3%+0.35%)/11,1,$D$171-$D$64+1,$P$172-(SUM($P$4:P69)))*-1,2)</f>
        <v>2473.83</v>
      </c>
      <c r="U70" s="2116"/>
      <c r="V70" s="2116"/>
      <c r="W70" s="2116"/>
      <c r="Y70" s="471"/>
      <c r="Z70" s="471"/>
    </row>
    <row r="71" spans="1:26" ht="14.1" customHeight="1">
      <c r="A71" s="2112">
        <v>20</v>
      </c>
      <c r="B71" s="2113"/>
      <c r="C71" s="2113"/>
      <c r="D71" s="2107">
        <f t="shared" si="5"/>
        <v>2019</v>
      </c>
      <c r="E71" s="2107"/>
      <c r="F71" s="2107"/>
      <c r="G71" s="2107"/>
      <c r="H71" s="2107" t="s">
        <v>313</v>
      </c>
      <c r="I71" s="2107"/>
      <c r="J71" s="2107"/>
      <c r="K71" s="2107"/>
      <c r="L71" s="2107"/>
      <c r="M71" s="2107"/>
      <c r="N71" s="2107"/>
      <c r="O71" s="2107"/>
      <c r="P71" s="2114">
        <v>0</v>
      </c>
      <c r="Q71" s="2115"/>
      <c r="R71" s="2115"/>
      <c r="S71" s="2115"/>
      <c r="T71" s="2116">
        <f>ROUND(IPMT(($AA$3%+0.35%)/11,1,$D$171-$D$64+1,$P$172-(SUM($P$4:P70)))*-1,2)</f>
        <v>2473.83</v>
      </c>
      <c r="U71" s="2116"/>
      <c r="V71" s="2116"/>
      <c r="W71" s="2116"/>
      <c r="Y71" s="471"/>
      <c r="Z71" s="471"/>
    </row>
    <row r="72" spans="1:26" ht="14.1" customHeight="1">
      <c r="A72" s="2112">
        <v>21</v>
      </c>
      <c r="B72" s="2113"/>
      <c r="C72" s="2113"/>
      <c r="D72" s="2107">
        <f t="shared" si="5"/>
        <v>2019</v>
      </c>
      <c r="E72" s="2107"/>
      <c r="F72" s="2107"/>
      <c r="G72" s="2107"/>
      <c r="H72" s="2107" t="s">
        <v>314</v>
      </c>
      <c r="I72" s="2107"/>
      <c r="J72" s="2107"/>
      <c r="K72" s="2107"/>
      <c r="L72" s="2107"/>
      <c r="M72" s="2107"/>
      <c r="N72" s="2107"/>
      <c r="O72" s="2107"/>
      <c r="P72" s="2114">
        <v>0</v>
      </c>
      <c r="Q72" s="2115"/>
      <c r="R72" s="2115"/>
      <c r="S72" s="2115"/>
      <c r="T72" s="2116">
        <f>ROUND(IPMT(($AA$3%+0.35%)/11,1,$D$171-$D$64+1,$P$172-(SUM($P$4:P71)))*-1,2)</f>
        <v>2473.83</v>
      </c>
      <c r="U72" s="2116"/>
      <c r="V72" s="2116"/>
      <c r="W72" s="2116"/>
      <c r="Y72" s="471"/>
      <c r="Z72" s="471"/>
    </row>
    <row r="73" spans="1:26" ht="14.1" customHeight="1">
      <c r="A73" s="2112">
        <v>22</v>
      </c>
      <c r="B73" s="2113"/>
      <c r="C73" s="2113"/>
      <c r="D73" s="2107">
        <f t="shared" si="5"/>
        <v>2019</v>
      </c>
      <c r="E73" s="2107"/>
      <c r="F73" s="2107"/>
      <c r="G73" s="2107"/>
      <c r="H73" s="2107" t="s">
        <v>315</v>
      </c>
      <c r="I73" s="2107"/>
      <c r="J73" s="2107"/>
      <c r="K73" s="2107"/>
      <c r="L73" s="2107"/>
      <c r="M73" s="2107"/>
      <c r="N73" s="2107"/>
      <c r="O73" s="2107"/>
      <c r="P73" s="2114">
        <v>0</v>
      </c>
      <c r="Q73" s="2115"/>
      <c r="R73" s="2115"/>
      <c r="S73" s="2115"/>
      <c r="T73" s="2116">
        <f>ROUND(IPMT(($AA$3%+0.35%)/11,1,$D$171-$D$64+1,$P$172-(SUM($P$4:P72)))*-1,2)</f>
        <v>2473.83</v>
      </c>
      <c r="U73" s="2116"/>
      <c r="V73" s="2116"/>
      <c r="W73" s="2116"/>
      <c r="Y73" s="471"/>
      <c r="Z73" s="471"/>
    </row>
    <row r="74" spans="1:26" s="477" customFormat="1" ht="14.1" customHeight="1">
      <c r="A74" s="2143">
        <v>23</v>
      </c>
      <c r="B74" s="2144"/>
      <c r="C74" s="2144"/>
      <c r="D74" s="2145">
        <f t="shared" si="5"/>
        <v>2019</v>
      </c>
      <c r="E74" s="2145"/>
      <c r="F74" s="2145"/>
      <c r="G74" s="2145"/>
      <c r="H74" s="2145" t="s">
        <v>316</v>
      </c>
      <c r="I74" s="2145"/>
      <c r="J74" s="2145"/>
      <c r="K74" s="2145"/>
      <c r="L74" s="2145"/>
      <c r="M74" s="2145"/>
      <c r="N74" s="2145"/>
      <c r="O74" s="2145"/>
      <c r="P74" s="2146">
        <f>'HSZ do groszy'!U29</f>
        <v>54872</v>
      </c>
      <c r="Q74" s="2147"/>
      <c r="R74" s="2147"/>
      <c r="S74" s="2147"/>
      <c r="T74" s="2148">
        <f>ROUND(IPMT(($AA$3%+0.35%)/11,1,$D$171-$D$64+1,$P$172-(SUM($P$4:P73)))*-1,2)</f>
        <v>2473.83</v>
      </c>
      <c r="U74" s="2148"/>
      <c r="V74" s="2148"/>
      <c r="W74" s="2148"/>
      <c r="Y74" s="478"/>
      <c r="Z74" s="478"/>
    </row>
    <row r="75" spans="1:26" ht="14.1" customHeight="1">
      <c r="A75" s="2112">
        <v>24</v>
      </c>
      <c r="B75" s="2113"/>
      <c r="C75" s="2113"/>
      <c r="D75" s="2107">
        <f t="shared" si="5"/>
        <v>2019</v>
      </c>
      <c r="E75" s="2107"/>
      <c r="F75" s="2107"/>
      <c r="G75" s="2107"/>
      <c r="H75" s="2107" t="s">
        <v>317</v>
      </c>
      <c r="I75" s="2107"/>
      <c r="J75" s="2107"/>
      <c r="K75" s="2107"/>
      <c r="L75" s="2107"/>
      <c r="M75" s="2107"/>
      <c r="N75" s="2107"/>
      <c r="O75" s="2107"/>
      <c r="P75" s="2114">
        <v>0</v>
      </c>
      <c r="Q75" s="2115"/>
      <c r="R75" s="2115"/>
      <c r="S75" s="2115"/>
      <c r="T75" s="2116">
        <f>ROUND(IPMT(($AA$3%+0.35%)/11,1,$D$171-$D$64+1,$P$172-(SUM($P$4:P74)))*-1,2)</f>
        <v>2119.65</v>
      </c>
      <c r="U75" s="2116"/>
      <c r="V75" s="2116"/>
      <c r="W75" s="2116"/>
      <c r="Y75" s="474">
        <f>SUM(T64:W75)</f>
        <v>29331.780000000006</v>
      </c>
    </row>
    <row r="76" spans="1:26" ht="14.1" customHeight="1">
      <c r="A76" s="2112">
        <v>13</v>
      </c>
      <c r="B76" s="2113"/>
      <c r="C76" s="2113"/>
      <c r="D76" s="2107">
        <f>D64+1</f>
        <v>2020</v>
      </c>
      <c r="E76" s="2107"/>
      <c r="F76" s="2107"/>
      <c r="G76" s="2107"/>
      <c r="H76" s="2107" t="s">
        <v>306</v>
      </c>
      <c r="I76" s="2107"/>
      <c r="J76" s="2107"/>
      <c r="K76" s="2107"/>
      <c r="L76" s="2107"/>
      <c r="M76" s="2107"/>
      <c r="N76" s="2107"/>
      <c r="O76" s="2107"/>
      <c r="P76" s="2114">
        <v>0</v>
      </c>
      <c r="Q76" s="2115"/>
      <c r="R76" s="2115"/>
      <c r="S76" s="2115"/>
      <c r="T76" s="2116">
        <f>ROUND(IPMT(($AA$3%+0.35%)/11,1,$D$171-$D$64+1,$P$172-(SUM($P$4:P75)))*-1,2)</f>
        <v>2119.65</v>
      </c>
      <c r="U76" s="2116"/>
      <c r="V76" s="2116"/>
      <c r="W76" s="2116"/>
      <c r="Y76" s="471"/>
      <c r="Z76" s="471"/>
    </row>
    <row r="77" spans="1:26" ht="14.1" customHeight="1">
      <c r="A77" s="2112">
        <v>14</v>
      </c>
      <c r="B77" s="2113"/>
      <c r="C77" s="2113"/>
      <c r="D77" s="2107">
        <f>$D$76</f>
        <v>2020</v>
      </c>
      <c r="E77" s="2107"/>
      <c r="F77" s="2107"/>
      <c r="G77" s="2107"/>
      <c r="H77" s="2107" t="s">
        <v>307</v>
      </c>
      <c r="I77" s="2107"/>
      <c r="J77" s="2107"/>
      <c r="K77" s="2107"/>
      <c r="L77" s="2107"/>
      <c r="M77" s="2107"/>
      <c r="N77" s="2107"/>
      <c r="O77" s="2107"/>
      <c r="P77" s="2114">
        <v>0</v>
      </c>
      <c r="Q77" s="2115"/>
      <c r="R77" s="2115"/>
      <c r="S77" s="2115"/>
      <c r="T77" s="2116">
        <f>ROUND(IPMT(($AA$3%+0.35%)/11,1,$D$171-$D$76+1,$P$172-(SUM($P$4:P76)))*-1,2)</f>
        <v>2119.65</v>
      </c>
      <c r="U77" s="2116"/>
      <c r="V77" s="2116"/>
      <c r="W77" s="2116"/>
      <c r="Y77" s="471"/>
      <c r="Z77" s="471"/>
    </row>
    <row r="78" spans="1:26" ht="14.1" customHeight="1">
      <c r="A78" s="2112">
        <v>15</v>
      </c>
      <c r="B78" s="2113"/>
      <c r="C78" s="2113"/>
      <c r="D78" s="2107">
        <f t="shared" ref="D78:D87" si="6">$D$76</f>
        <v>2020</v>
      </c>
      <c r="E78" s="2107"/>
      <c r="F78" s="2107"/>
      <c r="G78" s="2107"/>
      <c r="H78" s="2107" t="s">
        <v>308</v>
      </c>
      <c r="I78" s="2107"/>
      <c r="J78" s="2107"/>
      <c r="K78" s="2107"/>
      <c r="L78" s="2107"/>
      <c r="M78" s="2107"/>
      <c r="N78" s="2107"/>
      <c r="O78" s="2107"/>
      <c r="P78" s="2114">
        <v>0</v>
      </c>
      <c r="Q78" s="2115"/>
      <c r="R78" s="2115"/>
      <c r="S78" s="2115"/>
      <c r="T78" s="2116">
        <f>ROUND(IPMT(($AA$3%+0.35%)/11,1,$D$171-$D$76+1,$P$172-(SUM($P$4:P77)))*-1,2)</f>
        <v>2119.65</v>
      </c>
      <c r="U78" s="2116"/>
      <c r="V78" s="2116"/>
      <c r="W78" s="2116"/>
      <c r="Y78" s="471"/>
      <c r="Z78" s="471"/>
    </row>
    <row r="79" spans="1:26" ht="14.1" customHeight="1">
      <c r="A79" s="2112">
        <v>16</v>
      </c>
      <c r="B79" s="2113"/>
      <c r="C79" s="2113"/>
      <c r="D79" s="2107">
        <f t="shared" si="6"/>
        <v>2020</v>
      </c>
      <c r="E79" s="2107"/>
      <c r="F79" s="2107"/>
      <c r="G79" s="2107"/>
      <c r="H79" s="2107" t="s">
        <v>309</v>
      </c>
      <c r="I79" s="2107"/>
      <c r="J79" s="2107"/>
      <c r="K79" s="2107"/>
      <c r="L79" s="2107"/>
      <c r="M79" s="2107"/>
      <c r="N79" s="2107"/>
      <c r="O79" s="2107"/>
      <c r="P79" s="2114">
        <v>0</v>
      </c>
      <c r="Q79" s="2115"/>
      <c r="R79" s="2115"/>
      <c r="S79" s="2115"/>
      <c r="T79" s="2116">
        <f>ROUND(IPMT(($AA$3%+0.35%)/11,1,$D$171-$D$76+1,$P$172-(SUM($P$4:P78)))*-1,2)</f>
        <v>2119.65</v>
      </c>
      <c r="U79" s="2116"/>
      <c r="V79" s="2116"/>
      <c r="W79" s="2116"/>
      <c r="Y79" s="471"/>
      <c r="Z79" s="471"/>
    </row>
    <row r="80" spans="1:26" ht="14.1" customHeight="1">
      <c r="A80" s="2112">
        <v>17</v>
      </c>
      <c r="B80" s="2113"/>
      <c r="C80" s="2113"/>
      <c r="D80" s="2107">
        <f t="shared" si="6"/>
        <v>2020</v>
      </c>
      <c r="E80" s="2107"/>
      <c r="F80" s="2107"/>
      <c r="G80" s="2107"/>
      <c r="H80" s="2107" t="s">
        <v>310</v>
      </c>
      <c r="I80" s="2107"/>
      <c r="J80" s="2107"/>
      <c r="K80" s="2107"/>
      <c r="L80" s="2107"/>
      <c r="M80" s="2107"/>
      <c r="N80" s="2107"/>
      <c r="O80" s="2107"/>
      <c r="P80" s="2114">
        <v>0</v>
      </c>
      <c r="Q80" s="2115"/>
      <c r="R80" s="2115"/>
      <c r="S80" s="2115"/>
      <c r="T80" s="2116">
        <f>ROUND(IPMT(($AA$3%+0.35%)/11,1,$D$171-$D$76+1,$P$172-(SUM($P$4:P79)))*-1,2)</f>
        <v>2119.65</v>
      </c>
      <c r="U80" s="2116"/>
      <c r="V80" s="2116"/>
      <c r="W80" s="2116"/>
      <c r="Y80" s="471"/>
      <c r="Z80" s="471"/>
    </row>
    <row r="81" spans="1:26" ht="14.1" customHeight="1">
      <c r="A81" s="2112">
        <v>18</v>
      </c>
      <c r="B81" s="2113"/>
      <c r="C81" s="2113"/>
      <c r="D81" s="2107">
        <f t="shared" si="6"/>
        <v>2020</v>
      </c>
      <c r="E81" s="2107"/>
      <c r="F81" s="2107"/>
      <c r="G81" s="2107"/>
      <c r="H81" s="2107" t="s">
        <v>311</v>
      </c>
      <c r="I81" s="2107"/>
      <c r="J81" s="2107"/>
      <c r="K81" s="2107"/>
      <c r="L81" s="2107"/>
      <c r="M81" s="2107"/>
      <c r="N81" s="2107"/>
      <c r="O81" s="2107"/>
      <c r="P81" s="2114">
        <v>0</v>
      </c>
      <c r="Q81" s="2115"/>
      <c r="R81" s="2115"/>
      <c r="S81" s="2115"/>
      <c r="T81" s="2116">
        <f>ROUND(IPMT(($AA$3%+0.35%)/11,1,$D$171-$D$76+1,$P$172-(SUM($P$4:P80)))*-1,2)</f>
        <v>2119.65</v>
      </c>
      <c r="U81" s="2116"/>
      <c r="V81" s="2116"/>
      <c r="W81" s="2116"/>
      <c r="Y81" s="471"/>
      <c r="Z81" s="471"/>
    </row>
    <row r="82" spans="1:26" ht="14.1" customHeight="1">
      <c r="A82" s="2112">
        <v>19</v>
      </c>
      <c r="B82" s="2113"/>
      <c r="C82" s="2113"/>
      <c r="D82" s="2107">
        <f t="shared" si="6"/>
        <v>2020</v>
      </c>
      <c r="E82" s="2107"/>
      <c r="F82" s="2107"/>
      <c r="G82" s="2107"/>
      <c r="H82" s="2107" t="s">
        <v>312</v>
      </c>
      <c r="I82" s="2107"/>
      <c r="J82" s="2107"/>
      <c r="K82" s="2107"/>
      <c r="L82" s="2107"/>
      <c r="M82" s="2107"/>
      <c r="N82" s="2107"/>
      <c r="O82" s="2107"/>
      <c r="P82" s="2114">
        <v>0</v>
      </c>
      <c r="Q82" s="2115"/>
      <c r="R82" s="2115"/>
      <c r="S82" s="2115"/>
      <c r="T82" s="2116">
        <f>ROUND(IPMT(($AA$3%+0.35%)/11,1,$D$171-$D$76+1,$P$172-(SUM($P$4:P81)))*-1,2)</f>
        <v>2119.65</v>
      </c>
      <c r="U82" s="2116"/>
      <c r="V82" s="2116"/>
      <c r="W82" s="2116"/>
      <c r="Y82" s="471"/>
      <c r="Z82" s="471"/>
    </row>
    <row r="83" spans="1:26" ht="14.1" customHeight="1">
      <c r="A83" s="2112">
        <v>20</v>
      </c>
      <c r="B83" s="2113"/>
      <c r="C83" s="2113"/>
      <c r="D83" s="2107">
        <f t="shared" si="6"/>
        <v>2020</v>
      </c>
      <c r="E83" s="2107"/>
      <c r="F83" s="2107"/>
      <c r="G83" s="2107"/>
      <c r="H83" s="2107" t="s">
        <v>313</v>
      </c>
      <c r="I83" s="2107"/>
      <c r="J83" s="2107"/>
      <c r="K83" s="2107"/>
      <c r="L83" s="2107"/>
      <c r="M83" s="2107"/>
      <c r="N83" s="2107"/>
      <c r="O83" s="2107"/>
      <c r="P83" s="2114">
        <v>0</v>
      </c>
      <c r="Q83" s="2115"/>
      <c r="R83" s="2115"/>
      <c r="S83" s="2115"/>
      <c r="T83" s="2116">
        <f>ROUND(IPMT(($AA$3%+0.35%)/11,1,$D$171-$D$76+1,$P$172-(SUM($P$4:P82)))*-1,2)</f>
        <v>2119.65</v>
      </c>
      <c r="U83" s="2116"/>
      <c r="V83" s="2116"/>
      <c r="W83" s="2116"/>
      <c r="Y83" s="471"/>
      <c r="Z83" s="471"/>
    </row>
    <row r="84" spans="1:26" ht="14.1" customHeight="1">
      <c r="A84" s="2112">
        <v>21</v>
      </c>
      <c r="B84" s="2113"/>
      <c r="C84" s="2113"/>
      <c r="D84" s="2107">
        <f t="shared" si="6"/>
        <v>2020</v>
      </c>
      <c r="E84" s="2107"/>
      <c r="F84" s="2107"/>
      <c r="G84" s="2107"/>
      <c r="H84" s="2107" t="s">
        <v>314</v>
      </c>
      <c r="I84" s="2107"/>
      <c r="J84" s="2107"/>
      <c r="K84" s="2107"/>
      <c r="L84" s="2107"/>
      <c r="M84" s="2107"/>
      <c r="N84" s="2107"/>
      <c r="O84" s="2107"/>
      <c r="P84" s="2114">
        <v>0</v>
      </c>
      <c r="Q84" s="2115"/>
      <c r="R84" s="2115"/>
      <c r="S84" s="2115"/>
      <c r="T84" s="2116">
        <f>ROUND(IPMT(($AA$3%+0.35%)/11,1,$D$171-$D$76+1,$P$172-(SUM($P$4:P83)))*-1,2)</f>
        <v>2119.65</v>
      </c>
      <c r="U84" s="2116"/>
      <c r="V84" s="2116"/>
      <c r="W84" s="2116"/>
      <c r="Y84" s="471"/>
      <c r="Z84" s="471"/>
    </row>
    <row r="85" spans="1:26" ht="14.1" customHeight="1">
      <c r="A85" s="2112">
        <v>22</v>
      </c>
      <c r="B85" s="2113"/>
      <c r="C85" s="2113"/>
      <c r="D85" s="2107">
        <f t="shared" si="6"/>
        <v>2020</v>
      </c>
      <c r="E85" s="2107"/>
      <c r="F85" s="2107"/>
      <c r="G85" s="2107"/>
      <c r="H85" s="2107" t="s">
        <v>315</v>
      </c>
      <c r="I85" s="2107"/>
      <c r="J85" s="2107"/>
      <c r="K85" s="2107"/>
      <c r="L85" s="2107"/>
      <c r="M85" s="2107"/>
      <c r="N85" s="2107"/>
      <c r="O85" s="2107"/>
      <c r="P85" s="2114">
        <v>0</v>
      </c>
      <c r="Q85" s="2115"/>
      <c r="R85" s="2115"/>
      <c r="S85" s="2115"/>
      <c r="T85" s="2116">
        <f>ROUND(IPMT(($AA$3%+0.35%)/11,1,$D$171-$D$76+1,$P$172-(SUM($P$4:P84)))*-1,2)</f>
        <v>2119.65</v>
      </c>
      <c r="U85" s="2116"/>
      <c r="V85" s="2116"/>
      <c r="W85" s="2116"/>
      <c r="Y85" s="471"/>
      <c r="Z85" s="471"/>
    </row>
    <row r="86" spans="1:26" s="477" customFormat="1" ht="14.1" customHeight="1">
      <c r="A86" s="2143">
        <v>23</v>
      </c>
      <c r="B86" s="2144"/>
      <c r="C86" s="2144"/>
      <c r="D86" s="2145">
        <f t="shared" si="6"/>
        <v>2020</v>
      </c>
      <c r="E86" s="2145"/>
      <c r="F86" s="2145"/>
      <c r="G86" s="2145"/>
      <c r="H86" s="2145" t="s">
        <v>316</v>
      </c>
      <c r="I86" s="2145"/>
      <c r="J86" s="2145"/>
      <c r="K86" s="2145"/>
      <c r="L86" s="2145"/>
      <c r="M86" s="2145"/>
      <c r="N86" s="2145"/>
      <c r="O86" s="2145"/>
      <c r="P86" s="2146">
        <f>'HSZ do groszy'!W29</f>
        <v>54872</v>
      </c>
      <c r="Q86" s="2147"/>
      <c r="R86" s="2147"/>
      <c r="S86" s="2147"/>
      <c r="T86" s="2148">
        <f>ROUND(IPMT(($AA$3%+0.35%)/11,1,$D$171-$D$76+1,$P$172-(SUM($P$4:P85)))*-1,2)</f>
        <v>2119.65</v>
      </c>
      <c r="U86" s="2148"/>
      <c r="V86" s="2148"/>
      <c r="W86" s="2148"/>
      <c r="Y86" s="478"/>
      <c r="Z86" s="478"/>
    </row>
    <row r="87" spans="1:26" ht="14.1" customHeight="1">
      <c r="A87" s="2112">
        <v>24</v>
      </c>
      <c r="B87" s="2113"/>
      <c r="C87" s="2113"/>
      <c r="D87" s="2107">
        <f t="shared" si="6"/>
        <v>2020</v>
      </c>
      <c r="E87" s="2107"/>
      <c r="F87" s="2107"/>
      <c r="G87" s="2107"/>
      <c r="H87" s="2107" t="s">
        <v>317</v>
      </c>
      <c r="I87" s="2107"/>
      <c r="J87" s="2107"/>
      <c r="K87" s="2107"/>
      <c r="L87" s="2107"/>
      <c r="M87" s="2107"/>
      <c r="N87" s="2107"/>
      <c r="O87" s="2107"/>
      <c r="P87" s="2114">
        <v>0</v>
      </c>
      <c r="Q87" s="2115"/>
      <c r="R87" s="2115"/>
      <c r="S87" s="2115"/>
      <c r="T87" s="2116">
        <f>ROUND(IPMT(($AA$3%+0.35%)/11,1,$D$171-$D$76+1,$P$172-(SUM($P$4:P86)))*-1,2)</f>
        <v>1765.48</v>
      </c>
      <c r="U87" s="2116"/>
      <c r="V87" s="2116"/>
      <c r="W87" s="2116"/>
      <c r="Y87" s="474">
        <f>SUM(T76:W87)</f>
        <v>25081.630000000005</v>
      </c>
    </row>
    <row r="88" spans="1:26" ht="14.1" customHeight="1">
      <c r="A88" s="2112">
        <v>13</v>
      </c>
      <c r="B88" s="2113"/>
      <c r="C88" s="2113"/>
      <c r="D88" s="2107">
        <f>D76+1</f>
        <v>2021</v>
      </c>
      <c r="E88" s="2107"/>
      <c r="F88" s="2107"/>
      <c r="G88" s="2107"/>
      <c r="H88" s="2107" t="s">
        <v>306</v>
      </c>
      <c r="I88" s="2107"/>
      <c r="J88" s="2107"/>
      <c r="K88" s="2107"/>
      <c r="L88" s="2107"/>
      <c r="M88" s="2107"/>
      <c r="N88" s="2107"/>
      <c r="O88" s="2107"/>
      <c r="P88" s="2114">
        <v>0</v>
      </c>
      <c r="Q88" s="2115"/>
      <c r="R88" s="2115"/>
      <c r="S88" s="2115"/>
      <c r="T88" s="2116">
        <f>ROUND(IPMT(($AA$3%+0.35%)/11,1,$D$171-$D$76+1,$P$172-(SUM($P$4:P87)))*-1,2)</f>
        <v>1765.48</v>
      </c>
      <c r="U88" s="2116"/>
      <c r="V88" s="2116"/>
      <c r="W88" s="2116"/>
      <c r="Y88" s="471"/>
      <c r="Z88" s="471"/>
    </row>
    <row r="89" spans="1:26" ht="14.1" customHeight="1">
      <c r="A89" s="2112">
        <v>14</v>
      </c>
      <c r="B89" s="2113"/>
      <c r="C89" s="2113"/>
      <c r="D89" s="2107">
        <f>$D$88</f>
        <v>2021</v>
      </c>
      <c r="E89" s="2107"/>
      <c r="F89" s="2107"/>
      <c r="G89" s="2107"/>
      <c r="H89" s="2107" t="s">
        <v>307</v>
      </c>
      <c r="I89" s="2107"/>
      <c r="J89" s="2107"/>
      <c r="K89" s="2107"/>
      <c r="L89" s="2107"/>
      <c r="M89" s="2107"/>
      <c r="N89" s="2107"/>
      <c r="O89" s="2107"/>
      <c r="P89" s="2114">
        <v>0</v>
      </c>
      <c r="Q89" s="2115"/>
      <c r="R89" s="2115"/>
      <c r="S89" s="2115"/>
      <c r="T89" s="2116">
        <f>ROUND(IPMT(($AA$3%+0.35%)/11,1,$D$171-$D$88+1,$P$172-(SUM($P$4:P88)))*-1,2)</f>
        <v>1765.48</v>
      </c>
      <c r="U89" s="2116"/>
      <c r="V89" s="2116"/>
      <c r="W89" s="2116"/>
      <c r="Y89" s="471"/>
      <c r="Z89" s="471"/>
    </row>
    <row r="90" spans="1:26" ht="14.1" customHeight="1">
      <c r="A90" s="2112">
        <v>15</v>
      </c>
      <c r="B90" s="2113"/>
      <c r="C90" s="2113"/>
      <c r="D90" s="2107">
        <f t="shared" ref="D90:D99" si="7">$D$88</f>
        <v>2021</v>
      </c>
      <c r="E90" s="2107"/>
      <c r="F90" s="2107"/>
      <c r="G90" s="2107"/>
      <c r="H90" s="2107" t="s">
        <v>308</v>
      </c>
      <c r="I90" s="2107"/>
      <c r="J90" s="2107"/>
      <c r="K90" s="2107"/>
      <c r="L90" s="2107"/>
      <c r="M90" s="2107"/>
      <c r="N90" s="2107"/>
      <c r="O90" s="2107"/>
      <c r="P90" s="2114">
        <v>0</v>
      </c>
      <c r="Q90" s="2115"/>
      <c r="R90" s="2115"/>
      <c r="S90" s="2115"/>
      <c r="T90" s="2116">
        <f>ROUND(IPMT(($AA$3%+0.35%)/11,1,$D$171-$D$88+1,$P$172-(SUM($P$4:P89)))*-1,2)</f>
        <v>1765.48</v>
      </c>
      <c r="U90" s="2116"/>
      <c r="V90" s="2116"/>
      <c r="W90" s="2116"/>
      <c r="Y90" s="471"/>
      <c r="Z90" s="471"/>
    </row>
    <row r="91" spans="1:26" ht="14.1" customHeight="1">
      <c r="A91" s="2112">
        <v>16</v>
      </c>
      <c r="B91" s="2113"/>
      <c r="C91" s="2113"/>
      <c r="D91" s="2107">
        <f t="shared" si="7"/>
        <v>2021</v>
      </c>
      <c r="E91" s="2107"/>
      <c r="F91" s="2107"/>
      <c r="G91" s="2107"/>
      <c r="H91" s="2107" t="s">
        <v>309</v>
      </c>
      <c r="I91" s="2107"/>
      <c r="J91" s="2107"/>
      <c r="K91" s="2107"/>
      <c r="L91" s="2107"/>
      <c r="M91" s="2107"/>
      <c r="N91" s="2107"/>
      <c r="O91" s="2107"/>
      <c r="P91" s="2114">
        <v>0</v>
      </c>
      <c r="Q91" s="2115"/>
      <c r="R91" s="2115"/>
      <c r="S91" s="2115"/>
      <c r="T91" s="2116">
        <f>ROUND(IPMT(($AA$3%+0.35%)/11,1,$D$171-$D$88+1,$P$172-(SUM($P$4:P90)))*-1,2)</f>
        <v>1765.48</v>
      </c>
      <c r="U91" s="2116"/>
      <c r="V91" s="2116"/>
      <c r="W91" s="2116"/>
      <c r="Y91" s="471"/>
      <c r="Z91" s="471"/>
    </row>
    <row r="92" spans="1:26" ht="14.1" customHeight="1">
      <c r="A92" s="2112">
        <v>17</v>
      </c>
      <c r="B92" s="2113"/>
      <c r="C92" s="2113"/>
      <c r="D92" s="2107">
        <f t="shared" si="7"/>
        <v>2021</v>
      </c>
      <c r="E92" s="2107"/>
      <c r="F92" s="2107"/>
      <c r="G92" s="2107"/>
      <c r="H92" s="2107" t="s">
        <v>310</v>
      </c>
      <c r="I92" s="2107"/>
      <c r="J92" s="2107"/>
      <c r="K92" s="2107"/>
      <c r="L92" s="2107"/>
      <c r="M92" s="2107"/>
      <c r="N92" s="2107"/>
      <c r="O92" s="2107"/>
      <c r="P92" s="2114">
        <v>0</v>
      </c>
      <c r="Q92" s="2115"/>
      <c r="R92" s="2115"/>
      <c r="S92" s="2115"/>
      <c r="T92" s="2116">
        <f>ROUND(IPMT(($AA$3%+0.35%)/11,1,$D$171-$D$88+1,$P$172-(SUM($P$4:P91)))*-1,2)</f>
        <v>1765.48</v>
      </c>
      <c r="U92" s="2116"/>
      <c r="V92" s="2116"/>
      <c r="W92" s="2116"/>
      <c r="Y92" s="471"/>
      <c r="Z92" s="471"/>
    </row>
    <row r="93" spans="1:26" ht="14.1" customHeight="1">
      <c r="A93" s="2112">
        <v>18</v>
      </c>
      <c r="B93" s="2113"/>
      <c r="C93" s="2113"/>
      <c r="D93" s="2107">
        <f t="shared" si="7"/>
        <v>2021</v>
      </c>
      <c r="E93" s="2107"/>
      <c r="F93" s="2107"/>
      <c r="G93" s="2107"/>
      <c r="H93" s="2107" t="s">
        <v>311</v>
      </c>
      <c r="I93" s="2107"/>
      <c r="J93" s="2107"/>
      <c r="K93" s="2107"/>
      <c r="L93" s="2107"/>
      <c r="M93" s="2107"/>
      <c r="N93" s="2107"/>
      <c r="O93" s="2107"/>
      <c r="P93" s="2114">
        <v>0</v>
      </c>
      <c r="Q93" s="2115"/>
      <c r="R93" s="2115"/>
      <c r="S93" s="2115"/>
      <c r="T93" s="2116">
        <f>ROUND(IPMT(($AA$3%+0.35%)/11,1,$D$171-$D$88+1,$P$172-(SUM($P$4:P92)))*-1,2)</f>
        <v>1765.48</v>
      </c>
      <c r="U93" s="2116"/>
      <c r="V93" s="2116"/>
      <c r="W93" s="2116"/>
      <c r="Y93" s="471"/>
      <c r="Z93" s="471"/>
    </row>
    <row r="94" spans="1:26" ht="14.1" customHeight="1">
      <c r="A94" s="2112">
        <v>19</v>
      </c>
      <c r="B94" s="2113"/>
      <c r="C94" s="2113"/>
      <c r="D94" s="2107">
        <f t="shared" si="7"/>
        <v>2021</v>
      </c>
      <c r="E94" s="2107"/>
      <c r="F94" s="2107"/>
      <c r="G94" s="2107"/>
      <c r="H94" s="2107" t="s">
        <v>312</v>
      </c>
      <c r="I94" s="2107"/>
      <c r="J94" s="2107"/>
      <c r="K94" s="2107"/>
      <c r="L94" s="2107"/>
      <c r="M94" s="2107"/>
      <c r="N94" s="2107"/>
      <c r="O94" s="2107"/>
      <c r="P94" s="2114">
        <v>0</v>
      </c>
      <c r="Q94" s="2115"/>
      <c r="R94" s="2115"/>
      <c r="S94" s="2115"/>
      <c r="T94" s="2116">
        <f>ROUND(IPMT(($AA$3%+0.35%)/11,1,$D$171-$D$88+1,$P$172-(SUM($P$4:P93)))*-1,2)</f>
        <v>1765.48</v>
      </c>
      <c r="U94" s="2116"/>
      <c r="V94" s="2116"/>
      <c r="W94" s="2116"/>
      <c r="Y94" s="471"/>
      <c r="Z94" s="471"/>
    </row>
    <row r="95" spans="1:26" ht="14.1" customHeight="1">
      <c r="A95" s="2112">
        <v>20</v>
      </c>
      <c r="B95" s="2113"/>
      <c r="C95" s="2113"/>
      <c r="D95" s="2107">
        <f t="shared" si="7"/>
        <v>2021</v>
      </c>
      <c r="E95" s="2107"/>
      <c r="F95" s="2107"/>
      <c r="G95" s="2107"/>
      <c r="H95" s="2107" t="s">
        <v>313</v>
      </c>
      <c r="I95" s="2107"/>
      <c r="J95" s="2107"/>
      <c r="K95" s="2107"/>
      <c r="L95" s="2107"/>
      <c r="M95" s="2107"/>
      <c r="N95" s="2107"/>
      <c r="O95" s="2107"/>
      <c r="P95" s="2114">
        <v>0</v>
      </c>
      <c r="Q95" s="2115"/>
      <c r="R95" s="2115"/>
      <c r="S95" s="2115"/>
      <c r="T95" s="2116">
        <f>ROUND(IPMT(($AA$3%+0.35%)/11,1,$D$171-$D$88+1,$P$172-(SUM($P$4:P94)))*-1,2)</f>
        <v>1765.48</v>
      </c>
      <c r="U95" s="2116"/>
      <c r="V95" s="2116"/>
      <c r="W95" s="2116"/>
      <c r="Y95" s="471"/>
      <c r="Z95" s="471"/>
    </row>
    <row r="96" spans="1:26" ht="14.1" customHeight="1">
      <c r="A96" s="2112">
        <v>21</v>
      </c>
      <c r="B96" s="2113"/>
      <c r="C96" s="2113"/>
      <c r="D96" s="2107">
        <f t="shared" si="7"/>
        <v>2021</v>
      </c>
      <c r="E96" s="2107"/>
      <c r="F96" s="2107"/>
      <c r="G96" s="2107"/>
      <c r="H96" s="2107" t="s">
        <v>314</v>
      </c>
      <c r="I96" s="2107"/>
      <c r="J96" s="2107"/>
      <c r="K96" s="2107"/>
      <c r="L96" s="2107"/>
      <c r="M96" s="2107"/>
      <c r="N96" s="2107"/>
      <c r="O96" s="2107"/>
      <c r="P96" s="2114">
        <v>0</v>
      </c>
      <c r="Q96" s="2115"/>
      <c r="R96" s="2115"/>
      <c r="S96" s="2115"/>
      <c r="T96" s="2116">
        <f>ROUND(IPMT(($AA$3%+0.35%)/11,1,$D$171-$D$88+1,$P$172-(SUM($P$4:P95)))*-1,2)</f>
        <v>1765.48</v>
      </c>
      <c r="U96" s="2116"/>
      <c r="V96" s="2116"/>
      <c r="W96" s="2116"/>
      <c r="Y96" s="471"/>
      <c r="Z96" s="471"/>
    </row>
    <row r="97" spans="1:26" ht="14.1" customHeight="1">
      <c r="A97" s="2112">
        <v>22</v>
      </c>
      <c r="B97" s="2113"/>
      <c r="C97" s="2113"/>
      <c r="D97" s="2107">
        <f t="shared" si="7"/>
        <v>2021</v>
      </c>
      <c r="E97" s="2107"/>
      <c r="F97" s="2107"/>
      <c r="G97" s="2107"/>
      <c r="H97" s="2107" t="s">
        <v>315</v>
      </c>
      <c r="I97" s="2107"/>
      <c r="J97" s="2107"/>
      <c r="K97" s="2107"/>
      <c r="L97" s="2107"/>
      <c r="M97" s="2107"/>
      <c r="N97" s="2107"/>
      <c r="O97" s="2107"/>
      <c r="P97" s="2114">
        <v>0</v>
      </c>
      <c r="Q97" s="2115"/>
      <c r="R97" s="2115"/>
      <c r="S97" s="2115"/>
      <c r="T97" s="2116">
        <f>ROUND(IPMT(($AA$3%+0.35%)/11,1,$D$171-$D$88+1,$P$172-(SUM($P$4:P96)))*-1,2)</f>
        <v>1765.48</v>
      </c>
      <c r="U97" s="2116"/>
      <c r="V97" s="2116"/>
      <c r="W97" s="2116"/>
      <c r="Y97" s="471"/>
      <c r="Z97" s="471"/>
    </row>
    <row r="98" spans="1:26" s="477" customFormat="1" ht="14.1" customHeight="1">
      <c r="A98" s="2143">
        <v>23</v>
      </c>
      <c r="B98" s="2144"/>
      <c r="C98" s="2144"/>
      <c r="D98" s="2145">
        <f t="shared" si="7"/>
        <v>2021</v>
      </c>
      <c r="E98" s="2145"/>
      <c r="F98" s="2145"/>
      <c r="G98" s="2145"/>
      <c r="H98" s="2145" t="s">
        <v>316</v>
      </c>
      <c r="I98" s="2145"/>
      <c r="J98" s="2145"/>
      <c r="K98" s="2145"/>
      <c r="L98" s="2145"/>
      <c r="M98" s="2145"/>
      <c r="N98" s="2145"/>
      <c r="O98" s="2145"/>
      <c r="P98" s="2146">
        <f>'HSZ do groszy'!Y29</f>
        <v>54872</v>
      </c>
      <c r="Q98" s="2147"/>
      <c r="R98" s="2147"/>
      <c r="S98" s="2147"/>
      <c r="T98" s="2148">
        <f>ROUND(IPMT(($AA$3%+0.35%)/11,1,$D$171-$D$88+1,$P$172-(SUM($P$4:P97)))*-1,2)</f>
        <v>1765.48</v>
      </c>
      <c r="U98" s="2148"/>
      <c r="V98" s="2148"/>
      <c r="W98" s="2148"/>
      <c r="Y98" s="478"/>
      <c r="Z98" s="478"/>
    </row>
    <row r="99" spans="1:26" ht="14.1" customHeight="1">
      <c r="A99" s="2112">
        <v>24</v>
      </c>
      <c r="B99" s="2113"/>
      <c r="C99" s="2113"/>
      <c r="D99" s="2107">
        <f t="shared" si="7"/>
        <v>2021</v>
      </c>
      <c r="E99" s="2107"/>
      <c r="F99" s="2107"/>
      <c r="G99" s="2107"/>
      <c r="H99" s="2107" t="s">
        <v>317</v>
      </c>
      <c r="I99" s="2107"/>
      <c r="J99" s="2107"/>
      <c r="K99" s="2107"/>
      <c r="L99" s="2107"/>
      <c r="M99" s="2107"/>
      <c r="N99" s="2107"/>
      <c r="O99" s="2107"/>
      <c r="P99" s="2114">
        <v>0</v>
      </c>
      <c r="Q99" s="2115"/>
      <c r="R99" s="2115"/>
      <c r="S99" s="2115"/>
      <c r="T99" s="2116">
        <f>ROUND(IPMT(($AA$3%+0.35%)/11,1,$D$171-$D$88+1,$P$172-(SUM($P$4:P98)))*-1,2)</f>
        <v>1411.31</v>
      </c>
      <c r="U99" s="2116"/>
      <c r="V99" s="2116"/>
      <c r="W99" s="2116"/>
      <c r="Y99" s="474">
        <f>SUM(T88:W99)</f>
        <v>20831.59</v>
      </c>
    </row>
    <row r="100" spans="1:26" ht="14.1" customHeight="1">
      <c r="A100" s="2112">
        <v>61</v>
      </c>
      <c r="B100" s="2113"/>
      <c r="C100" s="2113"/>
      <c r="D100" s="2107">
        <f>D99+1</f>
        <v>2022</v>
      </c>
      <c r="E100" s="2107"/>
      <c r="F100" s="2107"/>
      <c r="G100" s="2107"/>
      <c r="H100" s="2107" t="s">
        <v>306</v>
      </c>
      <c r="I100" s="2107"/>
      <c r="J100" s="2107"/>
      <c r="K100" s="2107"/>
      <c r="L100" s="2107"/>
      <c r="M100" s="2107"/>
      <c r="N100" s="2107"/>
      <c r="O100" s="2107"/>
      <c r="P100" s="2114">
        <v>0</v>
      </c>
      <c r="Q100" s="2115"/>
      <c r="R100" s="2115"/>
      <c r="S100" s="2115"/>
      <c r="T100" s="2116">
        <f>ROUND(IPMT(($AA$3%+0.35%)/11,1,$D$171-$D$88+1,$P$172-(SUM($P$4:P99)))*-1,2)</f>
        <v>1411.31</v>
      </c>
      <c r="U100" s="2116"/>
      <c r="V100" s="2116"/>
      <c r="W100" s="2116"/>
      <c r="Y100" s="473"/>
      <c r="Z100" s="471"/>
    </row>
    <row r="101" spans="1:26" ht="14.1" customHeight="1">
      <c r="A101" s="2112">
        <v>62</v>
      </c>
      <c r="B101" s="2113"/>
      <c r="C101" s="2113"/>
      <c r="D101" s="2107">
        <f>$D$100</f>
        <v>2022</v>
      </c>
      <c r="E101" s="2107"/>
      <c r="F101" s="2107"/>
      <c r="G101" s="2107"/>
      <c r="H101" s="2107" t="s">
        <v>307</v>
      </c>
      <c r="I101" s="2107"/>
      <c r="J101" s="2107"/>
      <c r="K101" s="2107"/>
      <c r="L101" s="2107"/>
      <c r="M101" s="2107"/>
      <c r="N101" s="2107"/>
      <c r="O101" s="2107"/>
      <c r="P101" s="2114">
        <v>0</v>
      </c>
      <c r="Q101" s="2115"/>
      <c r="R101" s="2115"/>
      <c r="S101" s="2115"/>
      <c r="T101" s="2116">
        <f>ROUND(IPMT(($AA$3%+0.35%)/11,1,$D$171-$D$160+1,$P$172-(SUM($P$4:P100)))*-1,2)</f>
        <v>1411.31</v>
      </c>
      <c r="U101" s="2116"/>
      <c r="V101" s="2116"/>
      <c r="W101" s="2116"/>
      <c r="Y101" s="473"/>
      <c r="Z101" s="471"/>
    </row>
    <row r="102" spans="1:26" ht="14.1" customHeight="1">
      <c r="A102" s="2112">
        <v>63</v>
      </c>
      <c r="B102" s="2113"/>
      <c r="C102" s="2113"/>
      <c r="D102" s="2107">
        <f t="shared" ref="D102:D111" si="8">$D$100</f>
        <v>2022</v>
      </c>
      <c r="E102" s="2107"/>
      <c r="F102" s="2107"/>
      <c r="G102" s="2107"/>
      <c r="H102" s="2107" t="s">
        <v>308</v>
      </c>
      <c r="I102" s="2107"/>
      <c r="J102" s="2107"/>
      <c r="K102" s="2107"/>
      <c r="L102" s="2107"/>
      <c r="M102" s="2107"/>
      <c r="N102" s="2107"/>
      <c r="O102" s="2107"/>
      <c r="P102" s="2114">
        <v>0</v>
      </c>
      <c r="Q102" s="2115"/>
      <c r="R102" s="2115"/>
      <c r="S102" s="2115"/>
      <c r="T102" s="2116">
        <f>ROUND(IPMT(($AA$3%+0.35%)/11,1,$D$171-$D$160+1,$P$172-(SUM($P$4:P101)))*-1,2)</f>
        <v>1411.31</v>
      </c>
      <c r="U102" s="2116"/>
      <c r="V102" s="2116"/>
      <c r="W102" s="2116"/>
      <c r="Y102" s="473"/>
      <c r="Z102" s="471"/>
    </row>
    <row r="103" spans="1:26" ht="14.1" customHeight="1">
      <c r="A103" s="2112">
        <v>64</v>
      </c>
      <c r="B103" s="2113"/>
      <c r="C103" s="2113"/>
      <c r="D103" s="2107">
        <f t="shared" si="8"/>
        <v>2022</v>
      </c>
      <c r="E103" s="2107"/>
      <c r="F103" s="2107"/>
      <c r="G103" s="2107"/>
      <c r="H103" s="2107" t="s">
        <v>309</v>
      </c>
      <c r="I103" s="2107"/>
      <c r="J103" s="2107"/>
      <c r="K103" s="2107"/>
      <c r="L103" s="2107"/>
      <c r="M103" s="2107"/>
      <c r="N103" s="2107"/>
      <c r="O103" s="2107"/>
      <c r="P103" s="2114">
        <v>0</v>
      </c>
      <c r="Q103" s="2115"/>
      <c r="R103" s="2115"/>
      <c r="S103" s="2115"/>
      <c r="T103" s="2116">
        <f>ROUND(IPMT(($AA$3%+0.35%)/11,1,$D$171-$D$160+1,$P$172-(SUM($P$4:P102)))*-1,2)</f>
        <v>1411.31</v>
      </c>
      <c r="U103" s="2116"/>
      <c r="V103" s="2116"/>
      <c r="W103" s="2116"/>
      <c r="Y103" s="473"/>
      <c r="Z103" s="471"/>
    </row>
    <row r="104" spans="1:26" ht="14.1" customHeight="1">
      <c r="A104" s="2112">
        <v>65</v>
      </c>
      <c r="B104" s="2113"/>
      <c r="C104" s="2113"/>
      <c r="D104" s="2107">
        <f t="shared" si="8"/>
        <v>2022</v>
      </c>
      <c r="E104" s="2107"/>
      <c r="F104" s="2107"/>
      <c r="G104" s="2107"/>
      <c r="H104" s="2107" t="s">
        <v>310</v>
      </c>
      <c r="I104" s="2107"/>
      <c r="J104" s="2107"/>
      <c r="K104" s="2107"/>
      <c r="L104" s="2107"/>
      <c r="M104" s="2107"/>
      <c r="N104" s="2107"/>
      <c r="O104" s="2107"/>
      <c r="P104" s="2114">
        <v>0</v>
      </c>
      <c r="Q104" s="2115"/>
      <c r="R104" s="2115"/>
      <c r="S104" s="2115"/>
      <c r="T104" s="2116">
        <f>ROUND(IPMT(($AA$3%+0.35%)/11,1,$D$171-$D$160+1,$P$172-(SUM($P$4:P103)))*-1,2)</f>
        <v>1411.31</v>
      </c>
      <c r="U104" s="2116"/>
      <c r="V104" s="2116"/>
      <c r="W104" s="2116"/>
      <c r="Y104" s="473"/>
      <c r="Z104" s="471"/>
    </row>
    <row r="105" spans="1:26" ht="14.1" customHeight="1">
      <c r="A105" s="2112">
        <v>66</v>
      </c>
      <c r="B105" s="2113"/>
      <c r="C105" s="2113"/>
      <c r="D105" s="2107">
        <f t="shared" si="8"/>
        <v>2022</v>
      </c>
      <c r="E105" s="2107"/>
      <c r="F105" s="2107"/>
      <c r="G105" s="2107"/>
      <c r="H105" s="2107" t="s">
        <v>311</v>
      </c>
      <c r="I105" s="2107"/>
      <c r="J105" s="2107"/>
      <c r="K105" s="2107"/>
      <c r="L105" s="2107"/>
      <c r="M105" s="2107"/>
      <c r="N105" s="2107"/>
      <c r="O105" s="2107"/>
      <c r="P105" s="2114">
        <v>0</v>
      </c>
      <c r="Q105" s="2115"/>
      <c r="R105" s="2115"/>
      <c r="S105" s="2115"/>
      <c r="T105" s="2116">
        <f>ROUND(IPMT(($AA$3%+0.35%)/11,1,$D$171-$D$160+1,$P$172-(SUM($P$4:P104)))*-1,2)</f>
        <v>1411.31</v>
      </c>
      <c r="U105" s="2116"/>
      <c r="V105" s="2116"/>
      <c r="W105" s="2116"/>
      <c r="Y105" s="473"/>
      <c r="Z105" s="471"/>
    </row>
    <row r="106" spans="1:26" ht="14.1" customHeight="1">
      <c r="A106" s="2112">
        <v>67</v>
      </c>
      <c r="B106" s="2113"/>
      <c r="C106" s="2113"/>
      <c r="D106" s="2107">
        <f t="shared" si="8"/>
        <v>2022</v>
      </c>
      <c r="E106" s="2107"/>
      <c r="F106" s="2107"/>
      <c r="G106" s="2107"/>
      <c r="H106" s="2107" t="s">
        <v>312</v>
      </c>
      <c r="I106" s="2107"/>
      <c r="J106" s="2107"/>
      <c r="K106" s="2107"/>
      <c r="L106" s="2107"/>
      <c r="M106" s="2107"/>
      <c r="N106" s="2107"/>
      <c r="O106" s="2107"/>
      <c r="P106" s="2114">
        <v>0</v>
      </c>
      <c r="Q106" s="2115"/>
      <c r="R106" s="2115"/>
      <c r="S106" s="2115"/>
      <c r="T106" s="2116">
        <f>ROUND(IPMT(($AA$3%+0.35%)/11,1,$D$171-$D$160+1,$P$172-(SUM($P$4:P105)))*-1,2)</f>
        <v>1411.31</v>
      </c>
      <c r="U106" s="2116"/>
      <c r="V106" s="2116"/>
      <c r="W106" s="2116"/>
      <c r="Y106" s="473"/>
      <c r="Z106" s="471"/>
    </row>
    <row r="107" spans="1:26" ht="14.1" customHeight="1">
      <c r="A107" s="2112">
        <v>68</v>
      </c>
      <c r="B107" s="2113"/>
      <c r="C107" s="2113"/>
      <c r="D107" s="2107">
        <f t="shared" si="8"/>
        <v>2022</v>
      </c>
      <c r="E107" s="2107"/>
      <c r="F107" s="2107"/>
      <c r="G107" s="2107"/>
      <c r="H107" s="2107" t="s">
        <v>313</v>
      </c>
      <c r="I107" s="2107"/>
      <c r="J107" s="2107"/>
      <c r="K107" s="2107"/>
      <c r="L107" s="2107"/>
      <c r="M107" s="2107"/>
      <c r="N107" s="2107"/>
      <c r="O107" s="2107"/>
      <c r="P107" s="2114">
        <v>0</v>
      </c>
      <c r="Q107" s="2115"/>
      <c r="R107" s="2115"/>
      <c r="S107" s="2115"/>
      <c r="T107" s="2116">
        <f>ROUND(IPMT(($AA$3%+0.35%)/11,1,$D$171-$D$160+1,$P$172-(SUM($P$4:P106)))*-1,2)</f>
        <v>1411.31</v>
      </c>
      <c r="U107" s="2116"/>
      <c r="V107" s="2116"/>
      <c r="W107" s="2116"/>
      <c r="Y107" s="473"/>
      <c r="Z107" s="471"/>
    </row>
    <row r="108" spans="1:26" ht="14.1" customHeight="1">
      <c r="A108" s="2112">
        <v>69</v>
      </c>
      <c r="B108" s="2113"/>
      <c r="C108" s="2113"/>
      <c r="D108" s="2107">
        <f t="shared" si="8"/>
        <v>2022</v>
      </c>
      <c r="E108" s="2107"/>
      <c r="F108" s="2107"/>
      <c r="G108" s="2107"/>
      <c r="H108" s="2107" t="s">
        <v>314</v>
      </c>
      <c r="I108" s="2107"/>
      <c r="J108" s="2107"/>
      <c r="K108" s="2107"/>
      <c r="L108" s="2107"/>
      <c r="M108" s="2107"/>
      <c r="N108" s="2107"/>
      <c r="O108" s="2107"/>
      <c r="P108" s="2114">
        <v>0</v>
      </c>
      <c r="Q108" s="2115"/>
      <c r="R108" s="2115"/>
      <c r="S108" s="2115"/>
      <c r="T108" s="2116">
        <f>ROUND(IPMT(($AA$3%+0.35%)/11,1,$D$171-$D$160+1,$P$172-(SUM($P$4:P107)))*-1,2)</f>
        <v>1411.31</v>
      </c>
      <c r="U108" s="2116"/>
      <c r="V108" s="2116"/>
      <c r="W108" s="2116"/>
      <c r="Y108" s="473"/>
      <c r="Z108" s="471"/>
    </row>
    <row r="109" spans="1:26" ht="14.1" customHeight="1">
      <c r="A109" s="2112">
        <v>70</v>
      </c>
      <c r="B109" s="2113"/>
      <c r="C109" s="2113"/>
      <c r="D109" s="2107">
        <f t="shared" si="8"/>
        <v>2022</v>
      </c>
      <c r="E109" s="2107"/>
      <c r="F109" s="2107"/>
      <c r="G109" s="2107"/>
      <c r="H109" s="2107" t="s">
        <v>315</v>
      </c>
      <c r="I109" s="2107"/>
      <c r="J109" s="2107"/>
      <c r="K109" s="2107"/>
      <c r="L109" s="2107"/>
      <c r="M109" s="2107"/>
      <c r="N109" s="2107"/>
      <c r="O109" s="2107"/>
      <c r="P109" s="2114">
        <v>0</v>
      </c>
      <c r="Q109" s="2115"/>
      <c r="R109" s="2115"/>
      <c r="S109" s="2115"/>
      <c r="T109" s="2116">
        <f>ROUND(IPMT(($AA$3%+0.35%)/11,1,$D$171-$D$160+1,$P$172-(SUM($P$4:P108)))*-1,2)</f>
        <v>1411.31</v>
      </c>
      <c r="U109" s="2116"/>
      <c r="V109" s="2116"/>
      <c r="W109" s="2116"/>
      <c r="Y109" s="473"/>
      <c r="Z109" s="471"/>
    </row>
    <row r="110" spans="1:26" s="477" customFormat="1" ht="14.1" customHeight="1">
      <c r="A110" s="2143">
        <v>71</v>
      </c>
      <c r="B110" s="2144"/>
      <c r="C110" s="2144"/>
      <c r="D110" s="2145">
        <f t="shared" si="8"/>
        <v>2022</v>
      </c>
      <c r="E110" s="2145"/>
      <c r="F110" s="2145"/>
      <c r="G110" s="2145"/>
      <c r="H110" s="2145" t="s">
        <v>316</v>
      </c>
      <c r="I110" s="2145"/>
      <c r="J110" s="2145"/>
      <c r="K110" s="2145"/>
      <c r="L110" s="2145"/>
      <c r="M110" s="2145"/>
      <c r="N110" s="2145"/>
      <c r="O110" s="2145"/>
      <c r="P110" s="2146">
        <f>'HSZ do groszy'!AA29</f>
        <v>54872</v>
      </c>
      <c r="Q110" s="2147"/>
      <c r="R110" s="2147"/>
      <c r="S110" s="2147"/>
      <c r="T110" s="2148">
        <f>ROUND(IPMT(($AA$3%+0.35%)/11,1,$D$171-$D$160+1,$P$172-(SUM($P$4:P109)))*-1,2)</f>
        <v>1411.31</v>
      </c>
      <c r="U110" s="2148"/>
      <c r="V110" s="2148"/>
      <c r="W110" s="2148"/>
      <c r="Y110" s="479"/>
      <c r="Z110" s="478"/>
    </row>
    <row r="111" spans="1:26" ht="14.1" customHeight="1">
      <c r="A111" s="2105">
        <v>72</v>
      </c>
      <c r="B111" s="2106"/>
      <c r="C111" s="2106"/>
      <c r="D111" s="2107">
        <f t="shared" si="8"/>
        <v>2022</v>
      </c>
      <c r="E111" s="2107"/>
      <c r="F111" s="2107"/>
      <c r="G111" s="2107"/>
      <c r="H111" s="2108" t="s">
        <v>317</v>
      </c>
      <c r="I111" s="2108"/>
      <c r="J111" s="2108"/>
      <c r="K111" s="2108"/>
      <c r="L111" s="2108"/>
      <c r="M111" s="2108"/>
      <c r="N111" s="2108"/>
      <c r="O111" s="2108"/>
      <c r="P111" s="2109">
        <v>0</v>
      </c>
      <c r="Q111" s="2110"/>
      <c r="R111" s="2110"/>
      <c r="S111" s="2110"/>
      <c r="T111" s="2111">
        <f>ROUND(IPMT(($AA$3%+0.35%)/11,1,$D$171-$D$160+1,$P$172-(SUM($P$4:P110)))*-1,2)</f>
        <v>1057.1300000000001</v>
      </c>
      <c r="U111" s="2111"/>
      <c r="V111" s="2111"/>
      <c r="W111" s="2111"/>
      <c r="Y111" s="474">
        <f>SUM(T100:W111)</f>
        <v>16581.539999999997</v>
      </c>
      <c r="Z111" s="471"/>
    </row>
    <row r="112" spans="1:26" ht="14.1" customHeight="1">
      <c r="A112" s="2112">
        <v>61</v>
      </c>
      <c r="B112" s="2113"/>
      <c r="C112" s="2113"/>
      <c r="D112" s="2107">
        <f>D111+1</f>
        <v>2023</v>
      </c>
      <c r="E112" s="2107"/>
      <c r="F112" s="2107"/>
      <c r="G112" s="2107"/>
      <c r="H112" s="2107" t="s">
        <v>306</v>
      </c>
      <c r="I112" s="2107"/>
      <c r="J112" s="2107"/>
      <c r="K112" s="2107"/>
      <c r="L112" s="2107"/>
      <c r="M112" s="2107"/>
      <c r="N112" s="2107"/>
      <c r="O112" s="2107"/>
      <c r="P112" s="2114">
        <v>0</v>
      </c>
      <c r="Q112" s="2115"/>
      <c r="R112" s="2115"/>
      <c r="S112" s="2115"/>
      <c r="T112" s="2116">
        <f>ROUND(IPMT(($AA$3%+0.35%)/11,1,$D$171-$D$100+1,$P$172-(SUM($P$4:P111)))*-1,2)</f>
        <v>1057.1300000000001</v>
      </c>
      <c r="U112" s="2116"/>
      <c r="V112" s="2116"/>
      <c r="W112" s="2116"/>
      <c r="Y112" s="473"/>
      <c r="Z112" s="471"/>
    </row>
    <row r="113" spans="1:26" ht="14.1" customHeight="1">
      <c r="A113" s="2112">
        <v>62</v>
      </c>
      <c r="B113" s="2113"/>
      <c r="C113" s="2113"/>
      <c r="D113" s="2107">
        <f>$D$112</f>
        <v>2023</v>
      </c>
      <c r="E113" s="2107"/>
      <c r="F113" s="2107"/>
      <c r="G113" s="2107"/>
      <c r="H113" s="2107" t="s">
        <v>307</v>
      </c>
      <c r="I113" s="2107"/>
      <c r="J113" s="2107"/>
      <c r="K113" s="2107"/>
      <c r="L113" s="2107"/>
      <c r="M113" s="2107"/>
      <c r="N113" s="2107"/>
      <c r="O113" s="2107"/>
      <c r="P113" s="2114">
        <v>0</v>
      </c>
      <c r="Q113" s="2115"/>
      <c r="R113" s="2115"/>
      <c r="S113" s="2115"/>
      <c r="T113" s="2116">
        <f>ROUND(IPMT(($AA$3%+0.35%)/11,1,$D$171-$D$160+1,$P$172-(SUM($P$4:P112)))*-1,2)</f>
        <v>1057.1300000000001</v>
      </c>
      <c r="U113" s="2116"/>
      <c r="V113" s="2116"/>
      <c r="W113" s="2116"/>
      <c r="Y113" s="473"/>
      <c r="Z113" s="471"/>
    </row>
    <row r="114" spans="1:26" ht="14.1" customHeight="1">
      <c r="A114" s="2112">
        <v>63</v>
      </c>
      <c r="B114" s="2113"/>
      <c r="C114" s="2113"/>
      <c r="D114" s="2107">
        <f t="shared" ref="D114:D123" si="9">$D$112</f>
        <v>2023</v>
      </c>
      <c r="E114" s="2107"/>
      <c r="F114" s="2107"/>
      <c r="G114" s="2107"/>
      <c r="H114" s="2107" t="s">
        <v>308</v>
      </c>
      <c r="I114" s="2107"/>
      <c r="J114" s="2107"/>
      <c r="K114" s="2107"/>
      <c r="L114" s="2107"/>
      <c r="M114" s="2107"/>
      <c r="N114" s="2107"/>
      <c r="O114" s="2107"/>
      <c r="P114" s="2114">
        <v>0</v>
      </c>
      <c r="Q114" s="2115"/>
      <c r="R114" s="2115"/>
      <c r="S114" s="2115"/>
      <c r="T114" s="2116">
        <f>ROUND(IPMT(($AA$3%+0.35%)/11,1,$D$171-$D$160+1,$P$172-(SUM($P$4:P113)))*-1,2)</f>
        <v>1057.1300000000001</v>
      </c>
      <c r="U114" s="2116"/>
      <c r="V114" s="2116"/>
      <c r="W114" s="2116"/>
      <c r="Y114" s="473"/>
      <c r="Z114" s="471"/>
    </row>
    <row r="115" spans="1:26" ht="14.1" customHeight="1">
      <c r="A115" s="2112">
        <v>64</v>
      </c>
      <c r="B115" s="2113"/>
      <c r="C115" s="2113"/>
      <c r="D115" s="2107">
        <f t="shared" si="9"/>
        <v>2023</v>
      </c>
      <c r="E115" s="2107"/>
      <c r="F115" s="2107"/>
      <c r="G115" s="2107"/>
      <c r="H115" s="2107" t="s">
        <v>309</v>
      </c>
      <c r="I115" s="2107"/>
      <c r="J115" s="2107"/>
      <c r="K115" s="2107"/>
      <c r="L115" s="2107"/>
      <c r="M115" s="2107"/>
      <c r="N115" s="2107"/>
      <c r="O115" s="2107"/>
      <c r="P115" s="2114">
        <v>0</v>
      </c>
      <c r="Q115" s="2115"/>
      <c r="R115" s="2115"/>
      <c r="S115" s="2115"/>
      <c r="T115" s="2116">
        <f>ROUND(IPMT(($AA$3%+0.35%)/11,1,$D$171-$D$160+1,$P$172-(SUM($P$4:P114)))*-1,2)</f>
        <v>1057.1300000000001</v>
      </c>
      <c r="U115" s="2116"/>
      <c r="V115" s="2116"/>
      <c r="W115" s="2116"/>
      <c r="Y115" s="473"/>
      <c r="Z115" s="471"/>
    </row>
    <row r="116" spans="1:26" ht="14.1" customHeight="1">
      <c r="A116" s="2112">
        <v>65</v>
      </c>
      <c r="B116" s="2113"/>
      <c r="C116" s="2113"/>
      <c r="D116" s="2107">
        <f t="shared" si="9"/>
        <v>2023</v>
      </c>
      <c r="E116" s="2107"/>
      <c r="F116" s="2107"/>
      <c r="G116" s="2107"/>
      <c r="H116" s="2107" t="s">
        <v>310</v>
      </c>
      <c r="I116" s="2107"/>
      <c r="J116" s="2107"/>
      <c r="K116" s="2107"/>
      <c r="L116" s="2107"/>
      <c r="M116" s="2107"/>
      <c r="N116" s="2107"/>
      <c r="O116" s="2107"/>
      <c r="P116" s="2114">
        <v>0</v>
      </c>
      <c r="Q116" s="2115"/>
      <c r="R116" s="2115"/>
      <c r="S116" s="2115"/>
      <c r="T116" s="2116">
        <f>ROUND(IPMT(($AA$3%+0.35%)/11,1,$D$171-$D$160+1,$P$172-(SUM($P$4:P115)))*-1,2)</f>
        <v>1057.1300000000001</v>
      </c>
      <c r="U116" s="2116"/>
      <c r="V116" s="2116"/>
      <c r="W116" s="2116"/>
      <c r="Y116" s="473"/>
      <c r="Z116" s="471"/>
    </row>
    <row r="117" spans="1:26" ht="14.1" customHeight="1">
      <c r="A117" s="2112">
        <v>66</v>
      </c>
      <c r="B117" s="2113"/>
      <c r="C117" s="2113"/>
      <c r="D117" s="2107">
        <f t="shared" si="9"/>
        <v>2023</v>
      </c>
      <c r="E117" s="2107"/>
      <c r="F117" s="2107"/>
      <c r="G117" s="2107"/>
      <c r="H117" s="2107" t="s">
        <v>311</v>
      </c>
      <c r="I117" s="2107"/>
      <c r="J117" s="2107"/>
      <c r="K117" s="2107"/>
      <c r="L117" s="2107"/>
      <c r="M117" s="2107"/>
      <c r="N117" s="2107"/>
      <c r="O117" s="2107"/>
      <c r="P117" s="2114">
        <v>0</v>
      </c>
      <c r="Q117" s="2115"/>
      <c r="R117" s="2115"/>
      <c r="S117" s="2115"/>
      <c r="T117" s="2116">
        <f>ROUND(IPMT(($AA$3%+0.35%)/11,1,$D$171-$D$160+1,$P$172-(SUM($P$4:P116)))*-1,2)</f>
        <v>1057.1300000000001</v>
      </c>
      <c r="U117" s="2116"/>
      <c r="V117" s="2116"/>
      <c r="W117" s="2116"/>
      <c r="Y117" s="473"/>
      <c r="Z117" s="471"/>
    </row>
    <row r="118" spans="1:26" ht="14.1" customHeight="1">
      <c r="A118" s="2112">
        <v>67</v>
      </c>
      <c r="B118" s="2113"/>
      <c r="C118" s="2113"/>
      <c r="D118" s="2107">
        <f t="shared" si="9"/>
        <v>2023</v>
      </c>
      <c r="E118" s="2107"/>
      <c r="F118" s="2107"/>
      <c r="G118" s="2107"/>
      <c r="H118" s="2107" t="s">
        <v>312</v>
      </c>
      <c r="I118" s="2107"/>
      <c r="J118" s="2107"/>
      <c r="K118" s="2107"/>
      <c r="L118" s="2107"/>
      <c r="M118" s="2107"/>
      <c r="N118" s="2107"/>
      <c r="O118" s="2107"/>
      <c r="P118" s="2114">
        <v>0</v>
      </c>
      <c r="Q118" s="2115"/>
      <c r="R118" s="2115"/>
      <c r="S118" s="2115"/>
      <c r="T118" s="2116">
        <f>ROUND(IPMT(($AA$3%+0.35%)/11,1,$D$171-$D$160+1,$P$172-(SUM($P$4:P117)))*-1,2)</f>
        <v>1057.1300000000001</v>
      </c>
      <c r="U118" s="2116"/>
      <c r="V118" s="2116"/>
      <c r="W118" s="2116"/>
      <c r="Y118" s="473"/>
      <c r="Z118" s="471"/>
    </row>
    <row r="119" spans="1:26" ht="14.1" customHeight="1">
      <c r="A119" s="2112">
        <v>68</v>
      </c>
      <c r="B119" s="2113"/>
      <c r="C119" s="2113"/>
      <c r="D119" s="2107">
        <f t="shared" si="9"/>
        <v>2023</v>
      </c>
      <c r="E119" s="2107"/>
      <c r="F119" s="2107"/>
      <c r="G119" s="2107"/>
      <c r="H119" s="2107" t="s">
        <v>313</v>
      </c>
      <c r="I119" s="2107"/>
      <c r="J119" s="2107"/>
      <c r="K119" s="2107"/>
      <c r="L119" s="2107"/>
      <c r="M119" s="2107"/>
      <c r="N119" s="2107"/>
      <c r="O119" s="2107"/>
      <c r="P119" s="2114">
        <v>0</v>
      </c>
      <c r="Q119" s="2115"/>
      <c r="R119" s="2115"/>
      <c r="S119" s="2115"/>
      <c r="T119" s="2116">
        <f>ROUND(IPMT(($AA$3%+0.35%)/11,1,$D$171-$D$160+1,$P$172-(SUM($P$4:P118)))*-1,2)</f>
        <v>1057.1300000000001</v>
      </c>
      <c r="U119" s="2116"/>
      <c r="V119" s="2116"/>
      <c r="W119" s="2116"/>
      <c r="Y119" s="473"/>
      <c r="Z119" s="471"/>
    </row>
    <row r="120" spans="1:26" ht="14.1" customHeight="1">
      <c r="A120" s="2112">
        <v>69</v>
      </c>
      <c r="B120" s="2113"/>
      <c r="C120" s="2113"/>
      <c r="D120" s="2107">
        <f t="shared" si="9"/>
        <v>2023</v>
      </c>
      <c r="E120" s="2107"/>
      <c r="F120" s="2107"/>
      <c r="G120" s="2107"/>
      <c r="H120" s="2107" t="s">
        <v>314</v>
      </c>
      <c r="I120" s="2107"/>
      <c r="J120" s="2107"/>
      <c r="K120" s="2107"/>
      <c r="L120" s="2107"/>
      <c r="M120" s="2107"/>
      <c r="N120" s="2107"/>
      <c r="O120" s="2107"/>
      <c r="P120" s="2114">
        <v>0</v>
      </c>
      <c r="Q120" s="2115"/>
      <c r="R120" s="2115"/>
      <c r="S120" s="2115"/>
      <c r="T120" s="2116">
        <f>ROUND(IPMT(($AA$3%+0.35%)/11,1,$D$171-$D$160+1,$P$172-(SUM($P$4:P119)))*-1,2)</f>
        <v>1057.1300000000001</v>
      </c>
      <c r="U120" s="2116"/>
      <c r="V120" s="2116"/>
      <c r="W120" s="2116"/>
      <c r="Y120" s="473"/>
      <c r="Z120" s="471"/>
    </row>
    <row r="121" spans="1:26" ht="14.1" customHeight="1">
      <c r="A121" s="2112">
        <v>70</v>
      </c>
      <c r="B121" s="2113"/>
      <c r="C121" s="2113"/>
      <c r="D121" s="2107">
        <f t="shared" si="9"/>
        <v>2023</v>
      </c>
      <c r="E121" s="2107"/>
      <c r="F121" s="2107"/>
      <c r="G121" s="2107"/>
      <c r="H121" s="2107" t="s">
        <v>315</v>
      </c>
      <c r="I121" s="2107"/>
      <c r="J121" s="2107"/>
      <c r="K121" s="2107"/>
      <c r="L121" s="2107"/>
      <c r="M121" s="2107"/>
      <c r="N121" s="2107"/>
      <c r="O121" s="2107"/>
      <c r="P121" s="2114">
        <v>0</v>
      </c>
      <c r="Q121" s="2115"/>
      <c r="R121" s="2115"/>
      <c r="S121" s="2115"/>
      <c r="T121" s="2116">
        <f>ROUND(IPMT(($AA$3%+0.35%)/11,1,$D$171-$D$160+1,$P$172-(SUM($P$4:P120)))*-1,2)</f>
        <v>1057.1300000000001</v>
      </c>
      <c r="U121" s="2116"/>
      <c r="V121" s="2116"/>
      <c r="W121" s="2116"/>
      <c r="Y121" s="473"/>
      <c r="Z121" s="471"/>
    </row>
    <row r="122" spans="1:26" s="477" customFormat="1" ht="14.1" customHeight="1">
      <c r="A122" s="2143">
        <v>71</v>
      </c>
      <c r="B122" s="2144"/>
      <c r="C122" s="2144"/>
      <c r="D122" s="2145">
        <f t="shared" si="9"/>
        <v>2023</v>
      </c>
      <c r="E122" s="2145"/>
      <c r="F122" s="2145"/>
      <c r="G122" s="2145"/>
      <c r="H122" s="2145" t="s">
        <v>316</v>
      </c>
      <c r="I122" s="2145"/>
      <c r="J122" s="2145"/>
      <c r="K122" s="2145"/>
      <c r="L122" s="2145"/>
      <c r="M122" s="2145"/>
      <c r="N122" s="2145"/>
      <c r="O122" s="2145"/>
      <c r="P122" s="2146">
        <f>'HSZ do groszy'!AC29</f>
        <v>54872</v>
      </c>
      <c r="Q122" s="2147"/>
      <c r="R122" s="2147"/>
      <c r="S122" s="2147"/>
      <c r="T122" s="2148">
        <f>ROUND(IPMT(($AA$3%+0.35%)/11,1,$D$171-$D$160+1,$P$172-(SUM($P$4:P121)))*-1,2)</f>
        <v>1057.1300000000001</v>
      </c>
      <c r="U122" s="2148"/>
      <c r="V122" s="2148"/>
      <c r="W122" s="2148"/>
      <c r="Y122" s="479"/>
      <c r="Z122" s="478"/>
    </row>
    <row r="123" spans="1:26" ht="14.1" customHeight="1">
      <c r="A123" s="2105">
        <v>72</v>
      </c>
      <c r="B123" s="2106"/>
      <c r="C123" s="2106"/>
      <c r="D123" s="2107">
        <f t="shared" si="9"/>
        <v>2023</v>
      </c>
      <c r="E123" s="2107"/>
      <c r="F123" s="2107"/>
      <c r="G123" s="2107"/>
      <c r="H123" s="2108" t="s">
        <v>317</v>
      </c>
      <c r="I123" s="2108"/>
      <c r="J123" s="2108"/>
      <c r="K123" s="2108"/>
      <c r="L123" s="2108"/>
      <c r="M123" s="2108"/>
      <c r="N123" s="2108"/>
      <c r="O123" s="2108"/>
      <c r="P123" s="2109">
        <v>0</v>
      </c>
      <c r="Q123" s="2110"/>
      <c r="R123" s="2110"/>
      <c r="S123" s="2110"/>
      <c r="T123" s="2111">
        <f>ROUND(IPMT(($AA$3%+0.35%)/11,1,$D$171-$D$160+1,$P$172-(SUM($P$4:P122)))*-1,2)</f>
        <v>702.96</v>
      </c>
      <c r="U123" s="2111"/>
      <c r="V123" s="2111"/>
      <c r="W123" s="2111"/>
      <c r="Y123" s="474">
        <f>SUM(T112:W123)</f>
        <v>12331.390000000003</v>
      </c>
      <c r="Z123" s="471"/>
    </row>
    <row r="124" spans="1:26" ht="14.1" customHeight="1">
      <c r="A124" s="2112">
        <v>61</v>
      </c>
      <c r="B124" s="2113"/>
      <c r="C124" s="2113"/>
      <c r="D124" s="2107">
        <f>D123+1</f>
        <v>2024</v>
      </c>
      <c r="E124" s="2107"/>
      <c r="F124" s="2107"/>
      <c r="G124" s="2107"/>
      <c r="H124" s="2107" t="s">
        <v>306</v>
      </c>
      <c r="I124" s="2107"/>
      <c r="J124" s="2107"/>
      <c r="K124" s="2107"/>
      <c r="L124" s="2107"/>
      <c r="M124" s="2107"/>
      <c r="N124" s="2107"/>
      <c r="O124" s="2107"/>
      <c r="P124" s="2114">
        <v>0</v>
      </c>
      <c r="Q124" s="2115"/>
      <c r="R124" s="2115"/>
      <c r="S124" s="2115"/>
      <c r="T124" s="2116">
        <f>ROUND(IPMT(($AA$3%+0.35%)/11,1,$D$171-$D$112+1,$P$172-(SUM($P$4:P123)))*-1,2)</f>
        <v>702.96</v>
      </c>
      <c r="U124" s="2116"/>
      <c r="V124" s="2116"/>
      <c r="W124" s="2116"/>
      <c r="Y124" s="473"/>
      <c r="Z124" s="471"/>
    </row>
    <row r="125" spans="1:26" ht="14.1" customHeight="1">
      <c r="A125" s="2112">
        <v>62</v>
      </c>
      <c r="B125" s="2113"/>
      <c r="C125" s="2113"/>
      <c r="D125" s="2107">
        <f>$D$124</f>
        <v>2024</v>
      </c>
      <c r="E125" s="2107"/>
      <c r="F125" s="2107"/>
      <c r="G125" s="2107"/>
      <c r="H125" s="2107" t="s">
        <v>307</v>
      </c>
      <c r="I125" s="2107"/>
      <c r="J125" s="2107"/>
      <c r="K125" s="2107"/>
      <c r="L125" s="2107"/>
      <c r="M125" s="2107"/>
      <c r="N125" s="2107"/>
      <c r="O125" s="2107"/>
      <c r="P125" s="2114">
        <v>0</v>
      </c>
      <c r="Q125" s="2115"/>
      <c r="R125" s="2115"/>
      <c r="S125" s="2115"/>
      <c r="T125" s="2116">
        <f>ROUND(IPMT(($AA$3%+0.35%)/11,1,$D$171-$D$160+1,$P$172-(SUM($P$4:P124)))*-1,2)</f>
        <v>702.96</v>
      </c>
      <c r="U125" s="2116"/>
      <c r="V125" s="2116"/>
      <c r="W125" s="2116"/>
      <c r="Y125" s="473"/>
      <c r="Z125" s="471"/>
    </row>
    <row r="126" spans="1:26" ht="14.1" customHeight="1">
      <c r="A126" s="2112">
        <v>63</v>
      </c>
      <c r="B126" s="2113"/>
      <c r="C126" s="2113"/>
      <c r="D126" s="2107">
        <f t="shared" ref="D126:D135" si="10">$D$124</f>
        <v>2024</v>
      </c>
      <c r="E126" s="2107"/>
      <c r="F126" s="2107"/>
      <c r="G126" s="2107"/>
      <c r="H126" s="2107" t="s">
        <v>308</v>
      </c>
      <c r="I126" s="2107"/>
      <c r="J126" s="2107"/>
      <c r="K126" s="2107"/>
      <c r="L126" s="2107"/>
      <c r="M126" s="2107"/>
      <c r="N126" s="2107"/>
      <c r="O126" s="2107"/>
      <c r="P126" s="2114">
        <v>0</v>
      </c>
      <c r="Q126" s="2115"/>
      <c r="R126" s="2115"/>
      <c r="S126" s="2115"/>
      <c r="T126" s="2116">
        <f>ROUND(IPMT(($AA$3%+0.35%)/11,1,$D$171-$D$160+1,$P$172-(SUM($P$4:P125)))*-1,2)</f>
        <v>702.96</v>
      </c>
      <c r="U126" s="2116"/>
      <c r="V126" s="2116"/>
      <c r="W126" s="2116"/>
      <c r="Y126" s="473"/>
      <c r="Z126" s="471"/>
    </row>
    <row r="127" spans="1:26" ht="14.1" customHeight="1">
      <c r="A127" s="2112">
        <v>64</v>
      </c>
      <c r="B127" s="2113"/>
      <c r="C127" s="2113"/>
      <c r="D127" s="2107">
        <f t="shared" si="10"/>
        <v>2024</v>
      </c>
      <c r="E127" s="2107"/>
      <c r="F127" s="2107"/>
      <c r="G127" s="2107"/>
      <c r="H127" s="2107" t="s">
        <v>309</v>
      </c>
      <c r="I127" s="2107"/>
      <c r="J127" s="2107"/>
      <c r="K127" s="2107"/>
      <c r="L127" s="2107"/>
      <c r="M127" s="2107"/>
      <c r="N127" s="2107"/>
      <c r="O127" s="2107"/>
      <c r="P127" s="2114">
        <v>0</v>
      </c>
      <c r="Q127" s="2115"/>
      <c r="R127" s="2115"/>
      <c r="S127" s="2115"/>
      <c r="T127" s="2116">
        <f>ROUND(IPMT(($AA$3%+0.35%)/11,1,$D$171-$D$160+1,$P$172-(SUM($P$4:P126)))*-1,2)</f>
        <v>702.96</v>
      </c>
      <c r="U127" s="2116"/>
      <c r="V127" s="2116"/>
      <c r="W127" s="2116"/>
      <c r="Y127" s="473"/>
      <c r="Z127" s="471"/>
    </row>
    <row r="128" spans="1:26" ht="14.1" customHeight="1">
      <c r="A128" s="2112">
        <v>65</v>
      </c>
      <c r="B128" s="2113"/>
      <c r="C128" s="2113"/>
      <c r="D128" s="2107">
        <f t="shared" si="10"/>
        <v>2024</v>
      </c>
      <c r="E128" s="2107"/>
      <c r="F128" s="2107"/>
      <c r="G128" s="2107"/>
      <c r="H128" s="2107" t="s">
        <v>310</v>
      </c>
      <c r="I128" s="2107"/>
      <c r="J128" s="2107"/>
      <c r="K128" s="2107"/>
      <c r="L128" s="2107"/>
      <c r="M128" s="2107"/>
      <c r="N128" s="2107"/>
      <c r="O128" s="2107"/>
      <c r="P128" s="2114">
        <v>0</v>
      </c>
      <c r="Q128" s="2115"/>
      <c r="R128" s="2115"/>
      <c r="S128" s="2115"/>
      <c r="T128" s="2116">
        <f>ROUND(IPMT(($AA$3%+0.35%)/11,1,$D$171-$D$160+1,$P$172-(SUM($P$4:P127)))*-1,2)</f>
        <v>702.96</v>
      </c>
      <c r="U128" s="2116"/>
      <c r="V128" s="2116"/>
      <c r="W128" s="2116"/>
      <c r="Y128" s="473"/>
      <c r="Z128" s="471"/>
    </row>
    <row r="129" spans="1:26" ht="14.1" customHeight="1">
      <c r="A129" s="2112">
        <v>66</v>
      </c>
      <c r="B129" s="2113"/>
      <c r="C129" s="2113"/>
      <c r="D129" s="2107">
        <f t="shared" si="10"/>
        <v>2024</v>
      </c>
      <c r="E129" s="2107"/>
      <c r="F129" s="2107"/>
      <c r="G129" s="2107"/>
      <c r="H129" s="2107" t="s">
        <v>311</v>
      </c>
      <c r="I129" s="2107"/>
      <c r="J129" s="2107"/>
      <c r="K129" s="2107"/>
      <c r="L129" s="2107"/>
      <c r="M129" s="2107"/>
      <c r="N129" s="2107"/>
      <c r="O129" s="2107"/>
      <c r="P129" s="2114">
        <v>0</v>
      </c>
      <c r="Q129" s="2115"/>
      <c r="R129" s="2115"/>
      <c r="S129" s="2115"/>
      <c r="T129" s="2116">
        <f>ROUND(IPMT(($AA$3%+0.35%)/11,1,$D$171-$D$160+1,$P$172-(SUM($P$4:P128)))*-1,2)</f>
        <v>702.96</v>
      </c>
      <c r="U129" s="2116"/>
      <c r="V129" s="2116"/>
      <c r="W129" s="2116"/>
      <c r="Y129" s="473"/>
      <c r="Z129" s="471"/>
    </row>
    <row r="130" spans="1:26" ht="14.1" customHeight="1">
      <c r="A130" s="2112">
        <v>67</v>
      </c>
      <c r="B130" s="2113"/>
      <c r="C130" s="2113"/>
      <c r="D130" s="2107">
        <f t="shared" si="10"/>
        <v>2024</v>
      </c>
      <c r="E130" s="2107"/>
      <c r="F130" s="2107"/>
      <c r="G130" s="2107"/>
      <c r="H130" s="2107" t="s">
        <v>312</v>
      </c>
      <c r="I130" s="2107"/>
      <c r="J130" s="2107"/>
      <c r="K130" s="2107"/>
      <c r="L130" s="2107"/>
      <c r="M130" s="2107"/>
      <c r="N130" s="2107"/>
      <c r="O130" s="2107"/>
      <c r="P130" s="2114">
        <v>0</v>
      </c>
      <c r="Q130" s="2115"/>
      <c r="R130" s="2115"/>
      <c r="S130" s="2115"/>
      <c r="T130" s="2116">
        <f>ROUND(IPMT(($AA$3%+0.35%)/11,1,$D$171-$D$160+1,$P$172-(SUM($P$4:P129)))*-1,2)</f>
        <v>702.96</v>
      </c>
      <c r="U130" s="2116"/>
      <c r="V130" s="2116"/>
      <c r="W130" s="2116"/>
      <c r="Y130" s="473"/>
      <c r="Z130" s="471"/>
    </row>
    <row r="131" spans="1:26" ht="14.1" customHeight="1">
      <c r="A131" s="2112">
        <v>68</v>
      </c>
      <c r="B131" s="2113"/>
      <c r="C131" s="2113"/>
      <c r="D131" s="2107">
        <f t="shared" si="10"/>
        <v>2024</v>
      </c>
      <c r="E131" s="2107"/>
      <c r="F131" s="2107"/>
      <c r="G131" s="2107"/>
      <c r="H131" s="2107" t="s">
        <v>313</v>
      </c>
      <c r="I131" s="2107"/>
      <c r="J131" s="2107"/>
      <c r="K131" s="2107"/>
      <c r="L131" s="2107"/>
      <c r="M131" s="2107"/>
      <c r="N131" s="2107"/>
      <c r="O131" s="2107"/>
      <c r="P131" s="2114">
        <v>0</v>
      </c>
      <c r="Q131" s="2115"/>
      <c r="R131" s="2115"/>
      <c r="S131" s="2115"/>
      <c r="T131" s="2116">
        <f>ROUND(IPMT(($AA$3%+0.35%)/11,1,$D$171-$D$160+1,$P$172-(SUM($P$4:P130)))*-1,2)</f>
        <v>702.96</v>
      </c>
      <c r="U131" s="2116"/>
      <c r="V131" s="2116"/>
      <c r="W131" s="2116"/>
      <c r="Y131" s="473"/>
      <c r="Z131" s="471"/>
    </row>
    <row r="132" spans="1:26" ht="14.1" customHeight="1">
      <c r="A132" s="2112">
        <v>69</v>
      </c>
      <c r="B132" s="2113"/>
      <c r="C132" s="2113"/>
      <c r="D132" s="2107">
        <f t="shared" si="10"/>
        <v>2024</v>
      </c>
      <c r="E132" s="2107"/>
      <c r="F132" s="2107"/>
      <c r="G132" s="2107"/>
      <c r="H132" s="2107" t="s">
        <v>314</v>
      </c>
      <c r="I132" s="2107"/>
      <c r="J132" s="2107"/>
      <c r="K132" s="2107"/>
      <c r="L132" s="2107"/>
      <c r="M132" s="2107"/>
      <c r="N132" s="2107"/>
      <c r="O132" s="2107"/>
      <c r="P132" s="2114">
        <v>0</v>
      </c>
      <c r="Q132" s="2115"/>
      <c r="R132" s="2115"/>
      <c r="S132" s="2115"/>
      <c r="T132" s="2116">
        <f>ROUND(IPMT(($AA$3%+0.35%)/11,1,$D$171-$D$160+1,$P$172-(SUM($P$4:P131)))*-1,2)</f>
        <v>702.96</v>
      </c>
      <c r="U132" s="2116"/>
      <c r="V132" s="2116"/>
      <c r="W132" s="2116"/>
      <c r="Y132" s="473"/>
      <c r="Z132" s="471"/>
    </row>
    <row r="133" spans="1:26" ht="14.1" customHeight="1">
      <c r="A133" s="2112">
        <v>70</v>
      </c>
      <c r="B133" s="2113"/>
      <c r="C133" s="2113"/>
      <c r="D133" s="2107">
        <f t="shared" si="10"/>
        <v>2024</v>
      </c>
      <c r="E133" s="2107"/>
      <c r="F133" s="2107"/>
      <c r="G133" s="2107"/>
      <c r="H133" s="2107" t="s">
        <v>315</v>
      </c>
      <c r="I133" s="2107"/>
      <c r="J133" s="2107"/>
      <c r="K133" s="2107"/>
      <c r="L133" s="2107"/>
      <c r="M133" s="2107"/>
      <c r="N133" s="2107"/>
      <c r="O133" s="2107"/>
      <c r="P133" s="2114">
        <v>0</v>
      </c>
      <c r="Q133" s="2115"/>
      <c r="R133" s="2115"/>
      <c r="S133" s="2115"/>
      <c r="T133" s="2116">
        <f>ROUND(IPMT(($AA$3%+0.35%)/11,1,$D$171-$D$160+1,$P$172-(SUM($P$4:P132)))*-1,2)</f>
        <v>702.96</v>
      </c>
      <c r="U133" s="2116"/>
      <c r="V133" s="2116"/>
      <c r="W133" s="2116"/>
      <c r="Y133" s="473"/>
      <c r="Z133" s="471"/>
    </row>
    <row r="134" spans="1:26" s="477" customFormat="1" ht="14.1" customHeight="1">
      <c r="A134" s="2143">
        <v>71</v>
      </c>
      <c r="B134" s="2144"/>
      <c r="C134" s="2144"/>
      <c r="D134" s="2145">
        <f t="shared" si="10"/>
        <v>2024</v>
      </c>
      <c r="E134" s="2145"/>
      <c r="F134" s="2145"/>
      <c r="G134" s="2145"/>
      <c r="H134" s="2145" t="s">
        <v>316</v>
      </c>
      <c r="I134" s="2145"/>
      <c r="J134" s="2145"/>
      <c r="K134" s="2145"/>
      <c r="L134" s="2145"/>
      <c r="M134" s="2145"/>
      <c r="N134" s="2145"/>
      <c r="O134" s="2145"/>
      <c r="P134" s="2146">
        <f>'HSZ do groszy'!AE29</f>
        <v>54872</v>
      </c>
      <c r="Q134" s="2147"/>
      <c r="R134" s="2147"/>
      <c r="S134" s="2147"/>
      <c r="T134" s="2148">
        <f>ROUND(IPMT(($AA$3%+0.35%)/11,1,$D$171-$D$160+1,$P$172-(SUM($P$4:P133)))*-1,2)</f>
        <v>702.96</v>
      </c>
      <c r="U134" s="2148"/>
      <c r="V134" s="2148"/>
      <c r="W134" s="2148"/>
      <c r="Y134" s="479"/>
      <c r="Z134" s="478"/>
    </row>
    <row r="135" spans="1:26" ht="14.1" customHeight="1">
      <c r="A135" s="2105">
        <v>72</v>
      </c>
      <c r="B135" s="2106"/>
      <c r="C135" s="2106"/>
      <c r="D135" s="2107">
        <f t="shared" si="10"/>
        <v>2024</v>
      </c>
      <c r="E135" s="2107"/>
      <c r="F135" s="2107"/>
      <c r="G135" s="2107"/>
      <c r="H135" s="2108" t="s">
        <v>317</v>
      </c>
      <c r="I135" s="2108"/>
      <c r="J135" s="2108"/>
      <c r="K135" s="2108"/>
      <c r="L135" s="2108"/>
      <c r="M135" s="2108"/>
      <c r="N135" s="2108"/>
      <c r="O135" s="2108"/>
      <c r="P135" s="2109">
        <v>0</v>
      </c>
      <c r="Q135" s="2110"/>
      <c r="R135" s="2110"/>
      <c r="S135" s="2110"/>
      <c r="T135" s="2111">
        <f>ROUND(IPMT(($AA$3%+0.35%)/11,1,$D$171-$D$160+1,$P$172-(SUM($P$4:P134)))*-1,2)</f>
        <v>348.78</v>
      </c>
      <c r="U135" s="2111"/>
      <c r="V135" s="2111"/>
      <c r="W135" s="2111"/>
      <c r="Y135" s="474">
        <f>SUM(T124:W135)</f>
        <v>8081.34</v>
      </c>
      <c r="Z135" s="471"/>
    </row>
    <row r="136" spans="1:26" ht="14.1" customHeight="1">
      <c r="A136" s="2112">
        <v>61</v>
      </c>
      <c r="B136" s="2113"/>
      <c r="C136" s="2113"/>
      <c r="D136" s="2107">
        <v>2025</v>
      </c>
      <c r="E136" s="2107"/>
      <c r="F136" s="2107"/>
      <c r="G136" s="2107"/>
      <c r="H136" s="2107" t="s">
        <v>306</v>
      </c>
      <c r="I136" s="2107"/>
      <c r="J136" s="2107"/>
      <c r="K136" s="2107"/>
      <c r="L136" s="2107"/>
      <c r="M136" s="2107"/>
      <c r="N136" s="2107"/>
      <c r="O136" s="2107"/>
      <c r="P136" s="2114">
        <v>0</v>
      </c>
      <c r="Q136" s="2115"/>
      <c r="R136" s="2115"/>
      <c r="S136" s="2115"/>
      <c r="T136" s="2116">
        <f>ROUND(IPMT(($AA$3%+0.35%)/11,1,$D$171-$D$124+1,$P$172-(SUM($P$4:P135)))*-1,2)</f>
        <v>348.78</v>
      </c>
      <c r="U136" s="2116"/>
      <c r="V136" s="2116"/>
      <c r="W136" s="2116"/>
      <c r="Y136" s="473"/>
      <c r="Z136" s="471"/>
    </row>
    <row r="137" spans="1:26" ht="14.1" customHeight="1">
      <c r="A137" s="2112">
        <v>62</v>
      </c>
      <c r="B137" s="2113"/>
      <c r="C137" s="2113"/>
      <c r="D137" s="2107">
        <f>$D$136</f>
        <v>2025</v>
      </c>
      <c r="E137" s="2107"/>
      <c r="F137" s="2107"/>
      <c r="G137" s="2107"/>
      <c r="H137" s="2107" t="s">
        <v>307</v>
      </c>
      <c r="I137" s="2107"/>
      <c r="J137" s="2107"/>
      <c r="K137" s="2107"/>
      <c r="L137" s="2107"/>
      <c r="M137" s="2107"/>
      <c r="N137" s="2107"/>
      <c r="O137" s="2107"/>
      <c r="P137" s="2114">
        <v>0</v>
      </c>
      <c r="Q137" s="2115"/>
      <c r="R137" s="2115"/>
      <c r="S137" s="2115"/>
      <c r="T137" s="2116">
        <f>ROUND(IPMT(($AA$3%+0.35%)/11,1,$D$171-$D$160+1,$P$172-(SUM($P$4:P136)))*-1,2)</f>
        <v>348.78</v>
      </c>
      <c r="U137" s="2116"/>
      <c r="V137" s="2116"/>
      <c r="W137" s="2116"/>
      <c r="Y137" s="473"/>
      <c r="Z137" s="471"/>
    </row>
    <row r="138" spans="1:26" ht="14.1" customHeight="1">
      <c r="A138" s="2112">
        <v>63</v>
      </c>
      <c r="B138" s="2113"/>
      <c r="C138" s="2113"/>
      <c r="D138" s="2107">
        <f t="shared" ref="D138:D147" si="11">$D$136</f>
        <v>2025</v>
      </c>
      <c r="E138" s="2107"/>
      <c r="F138" s="2107"/>
      <c r="G138" s="2107"/>
      <c r="H138" s="2107" t="s">
        <v>308</v>
      </c>
      <c r="I138" s="2107"/>
      <c r="J138" s="2107"/>
      <c r="K138" s="2107"/>
      <c r="L138" s="2107"/>
      <c r="M138" s="2107"/>
      <c r="N138" s="2107"/>
      <c r="O138" s="2107"/>
      <c r="P138" s="2114">
        <v>0</v>
      </c>
      <c r="Q138" s="2115"/>
      <c r="R138" s="2115"/>
      <c r="S138" s="2115"/>
      <c r="T138" s="2116">
        <f>ROUND(IPMT(($AA$3%+0.35%)/11,1,$D$171-$D$160+1,$P$172-(SUM($P$4:P137)))*-1,2)</f>
        <v>348.78</v>
      </c>
      <c r="U138" s="2116"/>
      <c r="V138" s="2116"/>
      <c r="W138" s="2116"/>
      <c r="Y138" s="473"/>
      <c r="Z138" s="471"/>
    </row>
    <row r="139" spans="1:26" ht="14.1" customHeight="1">
      <c r="A139" s="2112">
        <v>64</v>
      </c>
      <c r="B139" s="2113"/>
      <c r="C139" s="2113"/>
      <c r="D139" s="2107">
        <f t="shared" si="11"/>
        <v>2025</v>
      </c>
      <c r="E139" s="2107"/>
      <c r="F139" s="2107"/>
      <c r="G139" s="2107"/>
      <c r="H139" s="2107" t="s">
        <v>309</v>
      </c>
      <c r="I139" s="2107"/>
      <c r="J139" s="2107"/>
      <c r="K139" s="2107"/>
      <c r="L139" s="2107"/>
      <c r="M139" s="2107"/>
      <c r="N139" s="2107"/>
      <c r="O139" s="2107"/>
      <c r="P139" s="2114">
        <v>0</v>
      </c>
      <c r="Q139" s="2115"/>
      <c r="R139" s="2115"/>
      <c r="S139" s="2115"/>
      <c r="T139" s="2116">
        <f>ROUND(IPMT(($AA$3%+0.35%)/11,1,$D$171-$D$160+1,$P$172-(SUM($P$4:P138)))*-1,2)</f>
        <v>348.78</v>
      </c>
      <c r="U139" s="2116"/>
      <c r="V139" s="2116"/>
      <c r="W139" s="2116"/>
      <c r="Y139" s="473"/>
      <c r="Z139" s="471"/>
    </row>
    <row r="140" spans="1:26" ht="14.1" customHeight="1">
      <c r="A140" s="2112">
        <v>65</v>
      </c>
      <c r="B140" s="2113"/>
      <c r="C140" s="2113"/>
      <c r="D140" s="2107">
        <f t="shared" si="11"/>
        <v>2025</v>
      </c>
      <c r="E140" s="2107"/>
      <c r="F140" s="2107"/>
      <c r="G140" s="2107"/>
      <c r="H140" s="2107" t="s">
        <v>310</v>
      </c>
      <c r="I140" s="2107"/>
      <c r="J140" s="2107"/>
      <c r="K140" s="2107"/>
      <c r="L140" s="2107"/>
      <c r="M140" s="2107"/>
      <c r="N140" s="2107"/>
      <c r="O140" s="2107"/>
      <c r="P140" s="2114">
        <v>0</v>
      </c>
      <c r="Q140" s="2115"/>
      <c r="R140" s="2115"/>
      <c r="S140" s="2115"/>
      <c r="T140" s="2116">
        <f>ROUND(IPMT(($AA$3%+0.35%)/11,1,$D$171-$D$160+1,$P$172-(SUM($P$4:P139)))*-1,2)</f>
        <v>348.78</v>
      </c>
      <c r="U140" s="2116"/>
      <c r="V140" s="2116"/>
      <c r="W140" s="2116"/>
      <c r="Y140" s="473"/>
      <c r="Z140" s="471"/>
    </row>
    <row r="141" spans="1:26" ht="14.1" customHeight="1">
      <c r="A141" s="2112">
        <v>66</v>
      </c>
      <c r="B141" s="2113"/>
      <c r="C141" s="2113"/>
      <c r="D141" s="2107">
        <f t="shared" si="11"/>
        <v>2025</v>
      </c>
      <c r="E141" s="2107"/>
      <c r="F141" s="2107"/>
      <c r="G141" s="2107"/>
      <c r="H141" s="2107" t="s">
        <v>311</v>
      </c>
      <c r="I141" s="2107"/>
      <c r="J141" s="2107"/>
      <c r="K141" s="2107"/>
      <c r="L141" s="2107"/>
      <c r="M141" s="2107"/>
      <c r="N141" s="2107"/>
      <c r="O141" s="2107"/>
      <c r="P141" s="2114">
        <v>0</v>
      </c>
      <c r="Q141" s="2115"/>
      <c r="R141" s="2115"/>
      <c r="S141" s="2115"/>
      <c r="T141" s="2116">
        <f>ROUND(IPMT(($AA$3%+0.35%)/11,1,$D$171-$D$160+1,$P$172-(SUM($P$4:P140)))*-1,2)</f>
        <v>348.78</v>
      </c>
      <c r="U141" s="2116"/>
      <c r="V141" s="2116"/>
      <c r="W141" s="2116"/>
      <c r="Y141" s="473"/>
      <c r="Z141" s="471"/>
    </row>
    <row r="142" spans="1:26" ht="14.1" customHeight="1">
      <c r="A142" s="2112">
        <v>67</v>
      </c>
      <c r="B142" s="2113"/>
      <c r="C142" s="2113"/>
      <c r="D142" s="2107">
        <f t="shared" si="11"/>
        <v>2025</v>
      </c>
      <c r="E142" s="2107"/>
      <c r="F142" s="2107"/>
      <c r="G142" s="2107"/>
      <c r="H142" s="2107" t="s">
        <v>312</v>
      </c>
      <c r="I142" s="2107"/>
      <c r="J142" s="2107"/>
      <c r="K142" s="2107"/>
      <c r="L142" s="2107"/>
      <c r="M142" s="2107"/>
      <c r="N142" s="2107"/>
      <c r="O142" s="2107"/>
      <c r="P142" s="2114">
        <v>0</v>
      </c>
      <c r="Q142" s="2115"/>
      <c r="R142" s="2115"/>
      <c r="S142" s="2115"/>
      <c r="T142" s="2116">
        <f>ROUND(IPMT(($AA$3%+0.35%)/11,1,$D$171-$D$160+1,$P$172-(SUM($P$4:P141)))*-1,2)</f>
        <v>348.78</v>
      </c>
      <c r="U142" s="2116"/>
      <c r="V142" s="2116"/>
      <c r="W142" s="2116"/>
      <c r="Y142" s="473"/>
      <c r="Z142" s="471"/>
    </row>
    <row r="143" spans="1:26" ht="14.1" customHeight="1">
      <c r="A143" s="2112">
        <v>68</v>
      </c>
      <c r="B143" s="2113"/>
      <c r="C143" s="2113"/>
      <c r="D143" s="2107">
        <f t="shared" si="11"/>
        <v>2025</v>
      </c>
      <c r="E143" s="2107"/>
      <c r="F143" s="2107"/>
      <c r="G143" s="2107"/>
      <c r="H143" s="2107" t="s">
        <v>313</v>
      </c>
      <c r="I143" s="2107"/>
      <c r="J143" s="2107"/>
      <c r="K143" s="2107"/>
      <c r="L143" s="2107"/>
      <c r="M143" s="2107"/>
      <c r="N143" s="2107"/>
      <c r="O143" s="2107"/>
      <c r="P143" s="2114">
        <v>0</v>
      </c>
      <c r="Q143" s="2115"/>
      <c r="R143" s="2115"/>
      <c r="S143" s="2115"/>
      <c r="T143" s="2116">
        <f>ROUND(IPMT(($AA$3%+0.35%)/11,1,$D$171-$D$160+1,$P$172-(SUM($P$4:P142)))*-1,2)</f>
        <v>348.78</v>
      </c>
      <c r="U143" s="2116"/>
      <c r="V143" s="2116"/>
      <c r="W143" s="2116"/>
      <c r="Y143" s="473"/>
      <c r="Z143" s="471"/>
    </row>
    <row r="144" spans="1:26" ht="14.1" customHeight="1">
      <c r="A144" s="2112">
        <v>69</v>
      </c>
      <c r="B144" s="2113"/>
      <c r="C144" s="2113"/>
      <c r="D144" s="2107">
        <f t="shared" si="11"/>
        <v>2025</v>
      </c>
      <c r="E144" s="2107"/>
      <c r="F144" s="2107"/>
      <c r="G144" s="2107"/>
      <c r="H144" s="2107" t="s">
        <v>314</v>
      </c>
      <c r="I144" s="2107"/>
      <c r="J144" s="2107"/>
      <c r="K144" s="2107"/>
      <c r="L144" s="2107"/>
      <c r="M144" s="2107"/>
      <c r="N144" s="2107"/>
      <c r="O144" s="2107"/>
      <c r="P144" s="2114">
        <v>0</v>
      </c>
      <c r="Q144" s="2115"/>
      <c r="R144" s="2115"/>
      <c r="S144" s="2115"/>
      <c r="T144" s="2116">
        <f>ROUND(IPMT(($AA$3%+0.35%)/11,1,$D$171-$D$160+1,$P$172-(SUM($P$4:P143)))*-1,2)</f>
        <v>348.78</v>
      </c>
      <c r="U144" s="2116"/>
      <c r="V144" s="2116"/>
      <c r="W144" s="2116"/>
      <c r="Y144" s="473"/>
      <c r="Z144" s="471"/>
    </row>
    <row r="145" spans="1:26" ht="14.1" customHeight="1">
      <c r="A145" s="2112">
        <v>70</v>
      </c>
      <c r="B145" s="2113"/>
      <c r="C145" s="2113"/>
      <c r="D145" s="2107">
        <f t="shared" si="11"/>
        <v>2025</v>
      </c>
      <c r="E145" s="2107"/>
      <c r="F145" s="2107"/>
      <c r="G145" s="2107"/>
      <c r="H145" s="2107" t="s">
        <v>315</v>
      </c>
      <c r="I145" s="2107"/>
      <c r="J145" s="2107"/>
      <c r="K145" s="2107"/>
      <c r="L145" s="2107"/>
      <c r="M145" s="2107"/>
      <c r="N145" s="2107"/>
      <c r="O145" s="2107"/>
      <c r="P145" s="2114">
        <v>0</v>
      </c>
      <c r="Q145" s="2115"/>
      <c r="R145" s="2115"/>
      <c r="S145" s="2115"/>
      <c r="T145" s="2116">
        <f>ROUND(IPMT(($AA$3%+0.35%)/11,1,$D$171-$D$160+1,$P$172-(SUM($P$4:P144)))*-1,2)</f>
        <v>348.78</v>
      </c>
      <c r="U145" s="2116"/>
      <c r="V145" s="2116"/>
      <c r="W145" s="2116"/>
      <c r="Y145" s="473"/>
      <c r="Z145" s="471"/>
    </row>
    <row r="146" spans="1:26" s="477" customFormat="1" ht="14.1" customHeight="1">
      <c r="A146" s="2143">
        <v>71</v>
      </c>
      <c r="B146" s="2144"/>
      <c r="C146" s="2144"/>
      <c r="D146" s="2145">
        <f t="shared" si="11"/>
        <v>2025</v>
      </c>
      <c r="E146" s="2145"/>
      <c r="F146" s="2145"/>
      <c r="G146" s="2145"/>
      <c r="H146" s="2145" t="s">
        <v>316</v>
      </c>
      <c r="I146" s="2145"/>
      <c r="J146" s="2145"/>
      <c r="K146" s="2145"/>
      <c r="L146" s="2145"/>
      <c r="M146" s="2145"/>
      <c r="N146" s="2145"/>
      <c r="O146" s="2145"/>
      <c r="P146" s="2146">
        <f>'HSZ do groszy'!AG29</f>
        <v>54037</v>
      </c>
      <c r="Q146" s="2147"/>
      <c r="R146" s="2147"/>
      <c r="S146" s="2147"/>
      <c r="T146" s="2148">
        <f>ROUND(IPMT(($AA$3%+0.35%)/11,1,$D$171-$D$160+1,$P$172-(SUM($P$4:P145)))*-1,2)</f>
        <v>348.78</v>
      </c>
      <c r="U146" s="2148"/>
      <c r="V146" s="2148"/>
      <c r="W146" s="2148"/>
      <c r="Y146" s="479"/>
      <c r="Z146" s="478"/>
    </row>
    <row r="147" spans="1:26" ht="14.1" customHeight="1">
      <c r="A147" s="2105">
        <v>72</v>
      </c>
      <c r="B147" s="2106"/>
      <c r="C147" s="2106"/>
      <c r="D147" s="2107">
        <f t="shared" si="11"/>
        <v>2025</v>
      </c>
      <c r="E147" s="2107"/>
      <c r="F147" s="2107"/>
      <c r="G147" s="2107"/>
      <c r="H147" s="2108" t="s">
        <v>317</v>
      </c>
      <c r="I147" s="2108"/>
      <c r="J147" s="2108"/>
      <c r="K147" s="2108"/>
      <c r="L147" s="2108"/>
      <c r="M147" s="2108"/>
      <c r="N147" s="2108"/>
      <c r="O147" s="2108"/>
      <c r="P147" s="2109">
        <v>0</v>
      </c>
      <c r="Q147" s="2110"/>
      <c r="R147" s="2110"/>
      <c r="S147" s="2110"/>
      <c r="T147" s="2111">
        <f>ROUND(IPMT(($AA$3%+0.35%)/11,1,$D$171-$D$160+1,$P$172-(SUM($P$4:P146)))*-1,2)</f>
        <v>0</v>
      </c>
      <c r="U147" s="2111"/>
      <c r="V147" s="2111"/>
      <c r="W147" s="2111"/>
      <c r="Y147" s="474">
        <f>SUM(T136:W147)</f>
        <v>3836.579999999999</v>
      </c>
      <c r="Z147" s="471"/>
    </row>
    <row r="148" spans="1:26" ht="14.1" customHeight="1">
      <c r="A148" s="2112">
        <v>61</v>
      </c>
      <c r="B148" s="2113"/>
      <c r="C148" s="2113"/>
      <c r="D148" s="2107">
        <f>D147+1</f>
        <v>2026</v>
      </c>
      <c r="E148" s="2107"/>
      <c r="F148" s="2107"/>
      <c r="G148" s="2107"/>
      <c r="H148" s="2107" t="s">
        <v>306</v>
      </c>
      <c r="I148" s="2107"/>
      <c r="J148" s="2107"/>
      <c r="K148" s="2107"/>
      <c r="L148" s="2107"/>
      <c r="M148" s="2107"/>
      <c r="N148" s="2107"/>
      <c r="O148" s="2107"/>
      <c r="P148" s="2114">
        <v>0</v>
      </c>
      <c r="Q148" s="2115"/>
      <c r="R148" s="2115"/>
      <c r="S148" s="2115"/>
      <c r="T148" s="2116">
        <f>ROUND(IPMT(($AA$3%+0.35%)/11,1,$D$171-$D$124+1,$P$172-(SUM($P$4:P147)))*-1,2)</f>
        <v>0</v>
      </c>
      <c r="U148" s="2116"/>
      <c r="V148" s="2116"/>
      <c r="W148" s="2116"/>
      <c r="Y148" s="473"/>
      <c r="Z148" s="471"/>
    </row>
    <row r="149" spans="1:26" ht="14.1" customHeight="1">
      <c r="A149" s="2112">
        <v>62</v>
      </c>
      <c r="B149" s="2113"/>
      <c r="C149" s="2113"/>
      <c r="D149" s="2107">
        <f>$D$148</f>
        <v>2026</v>
      </c>
      <c r="E149" s="2107"/>
      <c r="F149" s="2107"/>
      <c r="G149" s="2107"/>
      <c r="H149" s="2107" t="s">
        <v>307</v>
      </c>
      <c r="I149" s="2107"/>
      <c r="J149" s="2107"/>
      <c r="K149" s="2107"/>
      <c r="L149" s="2107"/>
      <c r="M149" s="2107"/>
      <c r="N149" s="2107"/>
      <c r="O149" s="2107"/>
      <c r="P149" s="2114">
        <v>0</v>
      </c>
      <c r="Q149" s="2115"/>
      <c r="R149" s="2115"/>
      <c r="S149" s="2115"/>
      <c r="T149" s="2116">
        <f>ROUND(IPMT(($AA$3%+0.35%)/11,1,$D$171-$D$160+1,$P$172-(SUM($P$4:P148)))*-1,2)</f>
        <v>0</v>
      </c>
      <c r="U149" s="2116"/>
      <c r="V149" s="2116"/>
      <c r="W149" s="2116"/>
      <c r="Y149" s="473"/>
      <c r="Z149" s="471"/>
    </row>
    <row r="150" spans="1:26" ht="14.1" customHeight="1">
      <c r="A150" s="2112">
        <v>63</v>
      </c>
      <c r="B150" s="2113"/>
      <c r="C150" s="2113"/>
      <c r="D150" s="2107">
        <f t="shared" ref="D150:D159" si="12">$D$148</f>
        <v>2026</v>
      </c>
      <c r="E150" s="2107"/>
      <c r="F150" s="2107"/>
      <c r="G150" s="2107"/>
      <c r="H150" s="2107" t="s">
        <v>308</v>
      </c>
      <c r="I150" s="2107"/>
      <c r="J150" s="2107"/>
      <c r="K150" s="2107"/>
      <c r="L150" s="2107"/>
      <c r="M150" s="2107"/>
      <c r="N150" s="2107"/>
      <c r="O150" s="2107"/>
      <c r="P150" s="2114">
        <v>0</v>
      </c>
      <c r="Q150" s="2115"/>
      <c r="R150" s="2115"/>
      <c r="S150" s="2115"/>
      <c r="T150" s="2116">
        <f>ROUND(IPMT(($AA$3%+0.35%)/11,1,$D$171-$D$160+1,$P$172-(SUM($P$4:P149)))*-1,2)</f>
        <v>0</v>
      </c>
      <c r="U150" s="2116"/>
      <c r="V150" s="2116"/>
      <c r="W150" s="2116"/>
      <c r="Y150" s="473"/>
      <c r="Z150" s="471"/>
    </row>
    <row r="151" spans="1:26" ht="14.1" customHeight="1">
      <c r="A151" s="2112">
        <v>64</v>
      </c>
      <c r="B151" s="2113"/>
      <c r="C151" s="2113"/>
      <c r="D151" s="2107">
        <f t="shared" si="12"/>
        <v>2026</v>
      </c>
      <c r="E151" s="2107"/>
      <c r="F151" s="2107"/>
      <c r="G151" s="2107"/>
      <c r="H151" s="2107" t="s">
        <v>309</v>
      </c>
      <c r="I151" s="2107"/>
      <c r="J151" s="2107"/>
      <c r="K151" s="2107"/>
      <c r="L151" s="2107"/>
      <c r="M151" s="2107"/>
      <c r="N151" s="2107"/>
      <c r="O151" s="2107"/>
      <c r="P151" s="2114">
        <v>0</v>
      </c>
      <c r="Q151" s="2115"/>
      <c r="R151" s="2115"/>
      <c r="S151" s="2115"/>
      <c r="T151" s="2116">
        <f>ROUND(IPMT(($AA$3%+0.35%)/11,1,$D$171-$D$160+1,$P$172-(SUM($P$4:P150)))*-1,2)</f>
        <v>0</v>
      </c>
      <c r="U151" s="2116"/>
      <c r="V151" s="2116"/>
      <c r="W151" s="2116"/>
      <c r="Y151" s="473"/>
      <c r="Z151" s="471"/>
    </row>
    <row r="152" spans="1:26" ht="14.1" customHeight="1">
      <c r="A152" s="2112">
        <v>65</v>
      </c>
      <c r="B152" s="2113"/>
      <c r="C152" s="2113"/>
      <c r="D152" s="2107">
        <f t="shared" si="12"/>
        <v>2026</v>
      </c>
      <c r="E152" s="2107"/>
      <c r="F152" s="2107"/>
      <c r="G152" s="2107"/>
      <c r="H152" s="2107" t="s">
        <v>310</v>
      </c>
      <c r="I152" s="2107"/>
      <c r="J152" s="2107"/>
      <c r="K152" s="2107"/>
      <c r="L152" s="2107"/>
      <c r="M152" s="2107"/>
      <c r="N152" s="2107"/>
      <c r="O152" s="2107"/>
      <c r="P152" s="2114">
        <v>0</v>
      </c>
      <c r="Q152" s="2115"/>
      <c r="R152" s="2115"/>
      <c r="S152" s="2115"/>
      <c r="T152" s="2116">
        <f>ROUND(IPMT(($AA$3%+0.35%)/11,1,$D$171-$D$160+1,$P$172-(SUM($P$4:P151)))*-1,2)</f>
        <v>0</v>
      </c>
      <c r="U152" s="2116"/>
      <c r="V152" s="2116"/>
      <c r="W152" s="2116"/>
      <c r="Y152" s="473"/>
      <c r="Z152" s="471"/>
    </row>
    <row r="153" spans="1:26" ht="14.1" customHeight="1">
      <c r="A153" s="2112">
        <v>66</v>
      </c>
      <c r="B153" s="2113"/>
      <c r="C153" s="2113"/>
      <c r="D153" s="2107">
        <f t="shared" si="12"/>
        <v>2026</v>
      </c>
      <c r="E153" s="2107"/>
      <c r="F153" s="2107"/>
      <c r="G153" s="2107"/>
      <c r="H153" s="2107" t="s">
        <v>311</v>
      </c>
      <c r="I153" s="2107"/>
      <c r="J153" s="2107"/>
      <c r="K153" s="2107"/>
      <c r="L153" s="2107"/>
      <c r="M153" s="2107"/>
      <c r="N153" s="2107"/>
      <c r="O153" s="2107"/>
      <c r="P153" s="2114">
        <v>0</v>
      </c>
      <c r="Q153" s="2115"/>
      <c r="R153" s="2115"/>
      <c r="S153" s="2115"/>
      <c r="T153" s="2116">
        <f>ROUND(IPMT(($AA$3%+0.35%)/11,1,$D$171-$D$160+1,$P$172-(SUM($P$4:P152)))*-1,2)</f>
        <v>0</v>
      </c>
      <c r="U153" s="2116"/>
      <c r="V153" s="2116"/>
      <c r="W153" s="2116"/>
      <c r="Y153" s="473"/>
      <c r="Z153" s="471"/>
    </row>
    <row r="154" spans="1:26" ht="14.1" customHeight="1">
      <c r="A154" s="2112">
        <v>67</v>
      </c>
      <c r="B154" s="2113"/>
      <c r="C154" s="2113"/>
      <c r="D154" s="2107">
        <f t="shared" si="12"/>
        <v>2026</v>
      </c>
      <c r="E154" s="2107"/>
      <c r="F154" s="2107"/>
      <c r="G154" s="2107"/>
      <c r="H154" s="2107" t="s">
        <v>312</v>
      </c>
      <c r="I154" s="2107"/>
      <c r="J154" s="2107"/>
      <c r="K154" s="2107"/>
      <c r="L154" s="2107"/>
      <c r="M154" s="2107"/>
      <c r="N154" s="2107"/>
      <c r="O154" s="2107"/>
      <c r="P154" s="2114">
        <v>0</v>
      </c>
      <c r="Q154" s="2115"/>
      <c r="R154" s="2115"/>
      <c r="S154" s="2115"/>
      <c r="T154" s="2116">
        <f>ROUND(IPMT(($AA$3%+0.35%)/11,1,$D$171-$D$160+1,$P$172-(SUM($P$4:P153)))*-1,2)</f>
        <v>0</v>
      </c>
      <c r="U154" s="2116"/>
      <c r="V154" s="2116"/>
      <c r="W154" s="2116"/>
      <c r="Y154" s="473"/>
      <c r="Z154" s="471"/>
    </row>
    <row r="155" spans="1:26" ht="14.1" customHeight="1">
      <c r="A155" s="2112">
        <v>68</v>
      </c>
      <c r="B155" s="2113"/>
      <c r="C155" s="2113"/>
      <c r="D155" s="2107">
        <f t="shared" si="12"/>
        <v>2026</v>
      </c>
      <c r="E155" s="2107"/>
      <c r="F155" s="2107"/>
      <c r="G155" s="2107"/>
      <c r="H155" s="2107" t="s">
        <v>313</v>
      </c>
      <c r="I155" s="2107"/>
      <c r="J155" s="2107"/>
      <c r="K155" s="2107"/>
      <c r="L155" s="2107"/>
      <c r="M155" s="2107"/>
      <c r="N155" s="2107"/>
      <c r="O155" s="2107"/>
      <c r="P155" s="2114">
        <v>0</v>
      </c>
      <c r="Q155" s="2115"/>
      <c r="R155" s="2115"/>
      <c r="S155" s="2115"/>
      <c r="T155" s="2116">
        <f>ROUND(IPMT(($AA$3%+0.35%)/11,1,$D$171-$D$160+1,$P$172-(SUM($P$4:P154)))*-1,2)</f>
        <v>0</v>
      </c>
      <c r="U155" s="2116"/>
      <c r="V155" s="2116"/>
      <c r="W155" s="2116"/>
      <c r="Y155" s="473"/>
      <c r="Z155" s="471"/>
    </row>
    <row r="156" spans="1:26" ht="14.1" customHeight="1">
      <c r="A156" s="2112">
        <v>69</v>
      </c>
      <c r="B156" s="2113"/>
      <c r="C156" s="2113"/>
      <c r="D156" s="2107">
        <f t="shared" si="12"/>
        <v>2026</v>
      </c>
      <c r="E156" s="2107"/>
      <c r="F156" s="2107"/>
      <c r="G156" s="2107"/>
      <c r="H156" s="2107" t="s">
        <v>314</v>
      </c>
      <c r="I156" s="2107"/>
      <c r="J156" s="2107"/>
      <c r="K156" s="2107"/>
      <c r="L156" s="2107"/>
      <c r="M156" s="2107"/>
      <c r="N156" s="2107"/>
      <c r="O156" s="2107"/>
      <c r="P156" s="2114">
        <v>0</v>
      </c>
      <c r="Q156" s="2115"/>
      <c r="R156" s="2115"/>
      <c r="S156" s="2115"/>
      <c r="T156" s="2116">
        <f>ROUND(IPMT(($AA$3%+0.35%)/11,1,$D$171-$D$160+1,$P$172-(SUM($P$4:P155)))*-1,2)</f>
        <v>0</v>
      </c>
      <c r="U156" s="2116"/>
      <c r="V156" s="2116"/>
      <c r="W156" s="2116"/>
      <c r="Y156" s="473"/>
      <c r="Z156" s="471"/>
    </row>
    <row r="157" spans="1:26" ht="14.1" customHeight="1">
      <c r="A157" s="2112">
        <v>70</v>
      </c>
      <c r="B157" s="2113"/>
      <c r="C157" s="2113"/>
      <c r="D157" s="2107">
        <f t="shared" si="12"/>
        <v>2026</v>
      </c>
      <c r="E157" s="2107"/>
      <c r="F157" s="2107"/>
      <c r="G157" s="2107"/>
      <c r="H157" s="2107" t="s">
        <v>315</v>
      </c>
      <c r="I157" s="2107"/>
      <c r="J157" s="2107"/>
      <c r="K157" s="2107"/>
      <c r="L157" s="2107"/>
      <c r="M157" s="2107"/>
      <c r="N157" s="2107"/>
      <c r="O157" s="2107"/>
      <c r="P157" s="2114">
        <v>0</v>
      </c>
      <c r="Q157" s="2115"/>
      <c r="R157" s="2115"/>
      <c r="S157" s="2115"/>
      <c r="T157" s="2116">
        <f>ROUND(IPMT(($AA$3%+0.35%)/11,1,$D$171-$D$160+1,$P$172-(SUM($P$4:P156)))*-1,2)</f>
        <v>0</v>
      </c>
      <c r="U157" s="2116"/>
      <c r="V157" s="2116"/>
      <c r="W157" s="2116"/>
      <c r="Y157" s="473"/>
      <c r="Z157" s="471"/>
    </row>
    <row r="158" spans="1:26" s="477" customFormat="1" ht="14.1" customHeight="1">
      <c r="A158" s="2143">
        <v>71</v>
      </c>
      <c r="B158" s="2144"/>
      <c r="C158" s="2144"/>
      <c r="D158" s="2145">
        <f t="shared" si="12"/>
        <v>2026</v>
      </c>
      <c r="E158" s="2145"/>
      <c r="F158" s="2145"/>
      <c r="G158" s="2145"/>
      <c r="H158" s="2145" t="s">
        <v>316</v>
      </c>
      <c r="I158" s="2145"/>
      <c r="J158" s="2145"/>
      <c r="K158" s="2145"/>
      <c r="L158" s="2145"/>
      <c r="M158" s="2145"/>
      <c r="N158" s="2145"/>
      <c r="O158" s="2145"/>
      <c r="P158" s="2146">
        <v>0</v>
      </c>
      <c r="Q158" s="2147"/>
      <c r="R158" s="2147"/>
      <c r="S158" s="2147"/>
      <c r="T158" s="2148">
        <f>ROUND(IPMT(($AA$3%+0.35%)/11,1,$D$171-$D$160+1,$P$172-(SUM($P$4:P157)))*-1,2)</f>
        <v>0</v>
      </c>
      <c r="U158" s="2148"/>
      <c r="V158" s="2148"/>
      <c r="W158" s="2148"/>
      <c r="Y158" s="479"/>
      <c r="Z158" s="478"/>
    </row>
    <row r="159" spans="1:26" ht="14.1" customHeight="1">
      <c r="A159" s="2105">
        <v>72</v>
      </c>
      <c r="B159" s="2106"/>
      <c r="C159" s="2106"/>
      <c r="D159" s="2107">
        <f t="shared" si="12"/>
        <v>2026</v>
      </c>
      <c r="E159" s="2107"/>
      <c r="F159" s="2107"/>
      <c r="G159" s="2107"/>
      <c r="H159" s="2108" t="s">
        <v>317</v>
      </c>
      <c r="I159" s="2108"/>
      <c r="J159" s="2108"/>
      <c r="K159" s="2108"/>
      <c r="L159" s="2108"/>
      <c r="M159" s="2108"/>
      <c r="N159" s="2108"/>
      <c r="O159" s="2108"/>
      <c r="P159" s="2109">
        <v>0</v>
      </c>
      <c r="Q159" s="2110"/>
      <c r="R159" s="2110"/>
      <c r="S159" s="2110"/>
      <c r="T159" s="2111">
        <f>ROUND(IPMT(($AA$3%+0.35%)/11,1,$D$171-$D$160+1,$P$172-(SUM($P$4:P158)))*-1,2)</f>
        <v>0</v>
      </c>
      <c r="U159" s="2111"/>
      <c r="V159" s="2111"/>
      <c r="W159" s="2111"/>
      <c r="Y159" s="474">
        <f>SUM(T148:W159)</f>
        <v>0</v>
      </c>
      <c r="Z159" s="471"/>
    </row>
    <row r="160" spans="1:26" ht="14.1" customHeight="1">
      <c r="A160" s="2112">
        <v>61</v>
      </c>
      <c r="B160" s="2113"/>
      <c r="C160" s="2113"/>
      <c r="D160" s="2107">
        <f>D148+1</f>
        <v>2027</v>
      </c>
      <c r="E160" s="2107"/>
      <c r="F160" s="2107"/>
      <c r="G160" s="2107"/>
      <c r="H160" s="2107" t="s">
        <v>306</v>
      </c>
      <c r="I160" s="2107"/>
      <c r="J160" s="2107"/>
      <c r="K160" s="2107"/>
      <c r="L160" s="2107"/>
      <c r="M160" s="2107"/>
      <c r="N160" s="2107"/>
      <c r="O160" s="2107"/>
      <c r="P160" s="2114">
        <v>0</v>
      </c>
      <c r="Q160" s="2115"/>
      <c r="R160" s="2115"/>
      <c r="S160" s="2115"/>
      <c r="T160" s="2116">
        <f>ROUND(IPMT(($AA$3%+0.35%)/11,1,$D$171-$D$124+1,$P$172-(SUM($P$4:P159)))*-1,2)</f>
        <v>0</v>
      </c>
      <c r="U160" s="2116"/>
      <c r="V160" s="2116"/>
      <c r="W160" s="2116"/>
    </row>
    <row r="161" spans="1:53" ht="14.1" customHeight="1">
      <c r="A161" s="2112">
        <v>62</v>
      </c>
      <c r="B161" s="2113"/>
      <c r="C161" s="2113"/>
      <c r="D161" s="2107">
        <f>$D$160</f>
        <v>2027</v>
      </c>
      <c r="E161" s="2107"/>
      <c r="F161" s="2107"/>
      <c r="G161" s="2107"/>
      <c r="H161" s="2107" t="s">
        <v>307</v>
      </c>
      <c r="I161" s="2107"/>
      <c r="J161" s="2107"/>
      <c r="K161" s="2107"/>
      <c r="L161" s="2107"/>
      <c r="M161" s="2107"/>
      <c r="N161" s="2107"/>
      <c r="O161" s="2107"/>
      <c r="P161" s="2114">
        <v>0</v>
      </c>
      <c r="Q161" s="2115"/>
      <c r="R161" s="2115"/>
      <c r="S161" s="2115"/>
      <c r="T161" s="2116">
        <f>ROUND(IPMT(($AA$3%+0.35%)/11,1,$D$171-$D$160+1,$P$172-(SUM($P$4:P160)))*-1,2)</f>
        <v>0</v>
      </c>
      <c r="U161" s="2116"/>
      <c r="V161" s="2116"/>
      <c r="W161" s="2116"/>
    </row>
    <row r="162" spans="1:53" ht="14.1" customHeight="1">
      <c r="A162" s="2112">
        <v>63</v>
      </c>
      <c r="B162" s="2113"/>
      <c r="C162" s="2113"/>
      <c r="D162" s="2107">
        <f t="shared" ref="D162:D171" si="13">$D$160</f>
        <v>2027</v>
      </c>
      <c r="E162" s="2107"/>
      <c r="F162" s="2107"/>
      <c r="G162" s="2107"/>
      <c r="H162" s="2107" t="s">
        <v>308</v>
      </c>
      <c r="I162" s="2107"/>
      <c r="J162" s="2107"/>
      <c r="K162" s="2107"/>
      <c r="L162" s="2107"/>
      <c r="M162" s="2107"/>
      <c r="N162" s="2107"/>
      <c r="O162" s="2107"/>
      <c r="P162" s="2114">
        <v>0</v>
      </c>
      <c r="Q162" s="2115"/>
      <c r="R162" s="2115"/>
      <c r="S162" s="2115"/>
      <c r="T162" s="2116">
        <f>ROUND(IPMT(($AA$3%+0.35%)/11,1,$D$171-$D$160+1,$P$172-(SUM($P$4:P161)))*-1,2)</f>
        <v>0</v>
      </c>
      <c r="U162" s="2116"/>
      <c r="V162" s="2116"/>
      <c r="W162" s="2116"/>
    </row>
    <row r="163" spans="1:53" ht="14.1" customHeight="1">
      <c r="A163" s="2112">
        <v>64</v>
      </c>
      <c r="B163" s="2113"/>
      <c r="C163" s="2113"/>
      <c r="D163" s="2107">
        <f t="shared" si="13"/>
        <v>2027</v>
      </c>
      <c r="E163" s="2107"/>
      <c r="F163" s="2107"/>
      <c r="G163" s="2107"/>
      <c r="H163" s="2107" t="s">
        <v>309</v>
      </c>
      <c r="I163" s="2107"/>
      <c r="J163" s="2107"/>
      <c r="K163" s="2107"/>
      <c r="L163" s="2107"/>
      <c r="M163" s="2107"/>
      <c r="N163" s="2107"/>
      <c r="O163" s="2107"/>
      <c r="P163" s="2114">
        <v>0</v>
      </c>
      <c r="Q163" s="2115"/>
      <c r="R163" s="2115"/>
      <c r="S163" s="2115"/>
      <c r="T163" s="2116">
        <f>ROUND(IPMT(($AA$3%+0.35%)/11,1,$D$171-$D$160+1,$P$172-(SUM($P$4:P162)))*-1,2)</f>
        <v>0</v>
      </c>
      <c r="U163" s="2116"/>
      <c r="V163" s="2116"/>
      <c r="W163" s="2116"/>
    </row>
    <row r="164" spans="1:53" ht="14.1" customHeight="1">
      <c r="A164" s="2112">
        <v>65</v>
      </c>
      <c r="B164" s="2113"/>
      <c r="C164" s="2113"/>
      <c r="D164" s="2107">
        <f t="shared" si="13"/>
        <v>2027</v>
      </c>
      <c r="E164" s="2107"/>
      <c r="F164" s="2107"/>
      <c r="G164" s="2107"/>
      <c r="H164" s="2107" t="s">
        <v>310</v>
      </c>
      <c r="I164" s="2107"/>
      <c r="J164" s="2107"/>
      <c r="K164" s="2107"/>
      <c r="L164" s="2107"/>
      <c r="M164" s="2107"/>
      <c r="N164" s="2107"/>
      <c r="O164" s="2107"/>
      <c r="P164" s="2114">
        <v>0</v>
      </c>
      <c r="Q164" s="2115"/>
      <c r="R164" s="2115"/>
      <c r="S164" s="2115"/>
      <c r="T164" s="2116">
        <f>ROUND(IPMT(($AA$3%+0.35%)/11,1,$D$171-$D$160+1,$P$172-(SUM($P$4:P163)))*-1,2)</f>
        <v>0</v>
      </c>
      <c r="U164" s="2116"/>
      <c r="V164" s="2116"/>
      <c r="W164" s="2116"/>
    </row>
    <row r="165" spans="1:53" ht="14.1" customHeight="1">
      <c r="A165" s="2112">
        <v>66</v>
      </c>
      <c r="B165" s="2113"/>
      <c r="C165" s="2113"/>
      <c r="D165" s="2107">
        <f t="shared" si="13"/>
        <v>2027</v>
      </c>
      <c r="E165" s="2107"/>
      <c r="F165" s="2107"/>
      <c r="G165" s="2107"/>
      <c r="H165" s="2107" t="s">
        <v>311</v>
      </c>
      <c r="I165" s="2107"/>
      <c r="J165" s="2107"/>
      <c r="K165" s="2107"/>
      <c r="L165" s="2107"/>
      <c r="M165" s="2107"/>
      <c r="N165" s="2107"/>
      <c r="O165" s="2107"/>
      <c r="P165" s="2114">
        <v>0</v>
      </c>
      <c r="Q165" s="2115"/>
      <c r="R165" s="2115"/>
      <c r="S165" s="2115"/>
      <c r="T165" s="2116">
        <f>ROUND(IPMT(($AA$3%+0.35%)/11,1,$D$171-$D$160+1,$P$172-(SUM($P$4:P164)))*-1,2)</f>
        <v>0</v>
      </c>
      <c r="U165" s="2116"/>
      <c r="V165" s="2116"/>
      <c r="W165" s="2116"/>
    </row>
    <row r="166" spans="1:53" ht="14.1" customHeight="1">
      <c r="A166" s="2112">
        <v>67</v>
      </c>
      <c r="B166" s="2113"/>
      <c r="C166" s="2113"/>
      <c r="D166" s="2107">
        <f t="shared" si="13"/>
        <v>2027</v>
      </c>
      <c r="E166" s="2107"/>
      <c r="F166" s="2107"/>
      <c r="G166" s="2107"/>
      <c r="H166" s="2107" t="s">
        <v>312</v>
      </c>
      <c r="I166" s="2107"/>
      <c r="J166" s="2107"/>
      <c r="K166" s="2107"/>
      <c r="L166" s="2107"/>
      <c r="M166" s="2107"/>
      <c r="N166" s="2107"/>
      <c r="O166" s="2107"/>
      <c r="P166" s="2114">
        <v>0</v>
      </c>
      <c r="Q166" s="2115"/>
      <c r="R166" s="2115"/>
      <c r="S166" s="2115"/>
      <c r="T166" s="2116">
        <f>ROUND(IPMT(($AA$3%+0.35%)/11,1,$D$171-$D$160+1,$P$172-(SUM($P$4:P165)))*-1,2)</f>
        <v>0</v>
      </c>
      <c r="U166" s="2116"/>
      <c r="V166" s="2116"/>
      <c r="W166" s="2116"/>
    </row>
    <row r="167" spans="1:53" ht="14.1" customHeight="1">
      <c r="A167" s="2112">
        <v>68</v>
      </c>
      <c r="B167" s="2113"/>
      <c r="C167" s="2113"/>
      <c r="D167" s="2107">
        <f t="shared" si="13"/>
        <v>2027</v>
      </c>
      <c r="E167" s="2107"/>
      <c r="F167" s="2107"/>
      <c r="G167" s="2107"/>
      <c r="H167" s="2107" t="s">
        <v>313</v>
      </c>
      <c r="I167" s="2107"/>
      <c r="J167" s="2107"/>
      <c r="K167" s="2107"/>
      <c r="L167" s="2107"/>
      <c r="M167" s="2107"/>
      <c r="N167" s="2107"/>
      <c r="O167" s="2107"/>
      <c r="P167" s="2114">
        <v>0</v>
      </c>
      <c r="Q167" s="2115"/>
      <c r="R167" s="2115"/>
      <c r="S167" s="2115"/>
      <c r="T167" s="2116">
        <f>ROUND(IPMT(($AA$3%+0.35%)/11,1,$D$171-$D$160+1,$P$172-(SUM($P$4:P166)))*-1,2)</f>
        <v>0</v>
      </c>
      <c r="U167" s="2116"/>
      <c r="V167" s="2116"/>
      <c r="W167" s="2116"/>
    </row>
    <row r="168" spans="1:53" ht="14.1" customHeight="1">
      <c r="A168" s="2112">
        <v>69</v>
      </c>
      <c r="B168" s="2113"/>
      <c r="C168" s="2113"/>
      <c r="D168" s="2107">
        <f t="shared" si="13"/>
        <v>2027</v>
      </c>
      <c r="E168" s="2107"/>
      <c r="F168" s="2107"/>
      <c r="G168" s="2107"/>
      <c r="H168" s="2107" t="s">
        <v>314</v>
      </c>
      <c r="I168" s="2107"/>
      <c r="J168" s="2107"/>
      <c r="K168" s="2107"/>
      <c r="L168" s="2107"/>
      <c r="M168" s="2107"/>
      <c r="N168" s="2107"/>
      <c r="O168" s="2107"/>
      <c r="P168" s="2114">
        <v>0</v>
      </c>
      <c r="Q168" s="2115"/>
      <c r="R168" s="2115"/>
      <c r="S168" s="2115"/>
      <c r="T168" s="2116">
        <f>ROUND(IPMT(($AA$3%+0.35%)/11,1,$D$171-$D$160+1,$P$172-(SUM($P$4:P167)))*-1,2)</f>
        <v>0</v>
      </c>
      <c r="U168" s="2116"/>
      <c r="V168" s="2116"/>
      <c r="W168" s="2116"/>
    </row>
    <row r="169" spans="1:53" ht="14.1" customHeight="1">
      <c r="A169" s="2112">
        <v>70</v>
      </c>
      <c r="B169" s="2113"/>
      <c r="C169" s="2113"/>
      <c r="D169" s="2107">
        <f t="shared" si="13"/>
        <v>2027</v>
      </c>
      <c r="E169" s="2107"/>
      <c r="F169" s="2107"/>
      <c r="G169" s="2107"/>
      <c r="H169" s="2107" t="s">
        <v>315</v>
      </c>
      <c r="I169" s="2107"/>
      <c r="J169" s="2107"/>
      <c r="K169" s="2107"/>
      <c r="L169" s="2107"/>
      <c r="M169" s="2107"/>
      <c r="N169" s="2107"/>
      <c r="O169" s="2107"/>
      <c r="P169" s="2114">
        <v>0</v>
      </c>
      <c r="Q169" s="2115"/>
      <c r="R169" s="2115"/>
      <c r="S169" s="2115"/>
      <c r="T169" s="2116">
        <f>ROUND(IPMT(($AA$3%+0.35%)/11,1,$D$171-$D$160+1,$P$172-(SUM($P$4:P168)))*-1,2)</f>
        <v>0</v>
      </c>
      <c r="U169" s="2116"/>
      <c r="V169" s="2116"/>
      <c r="W169" s="2116"/>
    </row>
    <row r="170" spans="1:53" s="477" customFormat="1" ht="14.1" customHeight="1">
      <c r="A170" s="2143">
        <v>71</v>
      </c>
      <c r="B170" s="2144"/>
      <c r="C170" s="2144"/>
      <c r="D170" s="2145">
        <f t="shared" si="13"/>
        <v>2027</v>
      </c>
      <c r="E170" s="2145"/>
      <c r="F170" s="2145"/>
      <c r="G170" s="2145"/>
      <c r="H170" s="2145" t="s">
        <v>316</v>
      </c>
      <c r="I170" s="2145"/>
      <c r="J170" s="2145"/>
      <c r="K170" s="2145"/>
      <c r="L170" s="2145"/>
      <c r="M170" s="2145"/>
      <c r="N170" s="2145"/>
      <c r="O170" s="2145"/>
      <c r="P170" s="2146">
        <v>0</v>
      </c>
      <c r="Q170" s="2147"/>
      <c r="R170" s="2147"/>
      <c r="S170" s="2147"/>
      <c r="T170" s="2148">
        <f>ROUND(IPMT(($AA$3%+0.35%)/11,1,$D$171-$D$160+1,$P$172-(SUM($P$4:P169)))*-1,2)</f>
        <v>0</v>
      </c>
      <c r="U170" s="2148"/>
      <c r="V170" s="2148"/>
      <c r="W170" s="2148"/>
    </row>
    <row r="171" spans="1:53" ht="14.1" customHeight="1">
      <c r="A171" s="2105">
        <v>72</v>
      </c>
      <c r="B171" s="2106"/>
      <c r="C171" s="2106"/>
      <c r="D171" s="2108">
        <f t="shared" si="13"/>
        <v>2027</v>
      </c>
      <c r="E171" s="2108"/>
      <c r="F171" s="2108"/>
      <c r="G171" s="2108"/>
      <c r="H171" s="2108" t="s">
        <v>317</v>
      </c>
      <c r="I171" s="2108"/>
      <c r="J171" s="2108"/>
      <c r="K171" s="2108"/>
      <c r="L171" s="2108"/>
      <c r="M171" s="2108"/>
      <c r="N171" s="2108"/>
      <c r="O171" s="2108"/>
      <c r="P171" s="2109">
        <v>0</v>
      </c>
      <c r="Q171" s="2110"/>
      <c r="R171" s="2110"/>
      <c r="S171" s="2110"/>
      <c r="T171" s="2111">
        <f>ROUND(IPMT(($AA$3%+0.35%)/11,1,$D$171-$D$160+1,$P$172-(SUM($P$4:P170)))*-1,2)</f>
        <v>0</v>
      </c>
      <c r="U171" s="2111"/>
      <c r="V171" s="2111"/>
      <c r="W171" s="2111"/>
      <c r="Y171" s="474">
        <f>SUM(T160:W171)</f>
        <v>0</v>
      </c>
    </row>
    <row r="172" spans="1:53" ht="14.1" customHeight="1">
      <c r="A172" s="2117" t="s">
        <v>318</v>
      </c>
      <c r="B172" s="2118"/>
      <c r="C172" s="2118"/>
      <c r="D172" s="2118"/>
      <c r="E172" s="2118"/>
      <c r="F172" s="2118"/>
      <c r="G172" s="2118"/>
      <c r="H172" s="2118"/>
      <c r="I172" s="2118"/>
      <c r="J172" s="2118"/>
      <c r="K172" s="2118"/>
      <c r="L172" s="2118"/>
      <c r="M172" s="2118"/>
      <c r="N172" s="2118"/>
      <c r="O172" s="2119"/>
      <c r="P172" s="2120">
        <f>SUM(P4:P171)</f>
        <v>547885</v>
      </c>
      <c r="Q172" s="2121"/>
      <c r="R172" s="2121"/>
      <c r="S172" s="2122"/>
      <c r="T172" s="2123">
        <f>SUM(T4:T171)</f>
        <v>314443.96863636421</v>
      </c>
      <c r="U172" s="2124"/>
      <c r="V172" s="2121"/>
      <c r="W172" s="2122"/>
    </row>
    <row r="173" spans="1:53">
      <c r="A173" s="2125"/>
      <c r="B173" s="2125"/>
      <c r="C173" s="2125"/>
      <c r="D173" s="2125"/>
      <c r="E173" s="2125"/>
      <c r="F173" s="2125"/>
      <c r="G173" s="2125"/>
      <c r="H173" s="2125"/>
      <c r="I173" s="2125"/>
      <c r="J173" s="2125"/>
      <c r="K173" s="2125"/>
      <c r="L173" s="2125"/>
      <c r="M173" s="2125"/>
      <c r="N173" s="2125"/>
      <c r="O173" s="2125"/>
      <c r="P173" s="2125"/>
      <c r="Q173" s="2125"/>
      <c r="R173" s="2125"/>
      <c r="S173" s="2125"/>
      <c r="T173" s="2125"/>
      <c r="U173" s="2125"/>
      <c r="V173" s="2125"/>
      <c r="W173" s="2125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295"/>
  <sheetViews>
    <sheetView workbookViewId="0">
      <selection activeCell="U1" sqref="U1:Z1"/>
    </sheetView>
  </sheetViews>
  <sheetFormatPr defaultColWidth="9.140625" defaultRowHeight="9.75" customHeight="1" zeroHeight="1"/>
  <cols>
    <col min="1" max="1" width="2.28515625" style="685" customWidth="1"/>
    <col min="2" max="2" width="2" style="686" customWidth="1"/>
    <col min="3" max="3" width="3.85546875" style="686" customWidth="1"/>
    <col min="4" max="4" width="2.5703125" style="686" customWidth="1"/>
    <col min="5" max="5" width="4.7109375" style="686" customWidth="1"/>
    <col min="6" max="6" width="4" style="677" customWidth="1"/>
    <col min="7" max="7" width="4.85546875" style="677" customWidth="1"/>
    <col min="8" max="8" width="2.5703125" style="677" customWidth="1"/>
    <col min="9" max="9" width="2.42578125" style="677" customWidth="1"/>
    <col min="10" max="10" width="4.140625" style="677" customWidth="1"/>
    <col min="11" max="11" width="3.7109375" style="677" customWidth="1"/>
    <col min="12" max="12" width="11.42578125" style="677" customWidth="1"/>
    <col min="13" max="13" width="6.140625" style="677" customWidth="1"/>
    <col min="14" max="14" width="11.5703125" style="677" customWidth="1"/>
    <col min="15" max="15" width="1.85546875" style="677" customWidth="1"/>
    <col min="16" max="16" width="11" style="677" hidden="1" customWidth="1"/>
    <col min="17" max="17" width="10.85546875" style="677" bestFit="1" customWidth="1"/>
    <col min="18" max="19" width="10.85546875" style="677" customWidth="1"/>
    <col min="20" max="21" width="10.7109375" style="677" customWidth="1"/>
    <col min="22" max="22" width="10.5703125" style="677" customWidth="1"/>
    <col min="23" max="23" width="10.7109375" style="677" customWidth="1"/>
    <col min="24" max="24" width="10.85546875" style="677" customWidth="1"/>
    <col min="25" max="25" width="10.5703125" style="677" customWidth="1"/>
    <col min="26" max="26" width="9.42578125" style="677" customWidth="1"/>
    <col min="27" max="27" width="9.85546875" style="677" customWidth="1"/>
    <col min="28" max="28" width="2.28515625" style="677" customWidth="1"/>
    <col min="29" max="16384" width="9.140625" style="677"/>
  </cols>
  <sheetData>
    <row r="1" spans="1:28" ht="111" customHeight="1">
      <c r="A1" s="672"/>
      <c r="B1" s="673"/>
      <c r="C1" s="673"/>
      <c r="D1" s="673"/>
      <c r="E1" s="673"/>
      <c r="F1" s="674"/>
      <c r="G1" s="674"/>
      <c r="H1" s="674"/>
      <c r="I1" s="674"/>
      <c r="J1" s="674"/>
      <c r="K1" s="674"/>
      <c r="L1" s="674"/>
      <c r="M1" s="675"/>
      <c r="N1" s="675"/>
      <c r="O1" s="675"/>
      <c r="P1" s="675"/>
      <c r="Q1" s="675"/>
      <c r="R1" s="675"/>
      <c r="S1" s="675"/>
      <c r="T1" s="675"/>
      <c r="U1" s="2212" t="s">
        <v>475</v>
      </c>
      <c r="V1" s="2212"/>
      <c r="W1" s="2212"/>
      <c r="X1" s="2213"/>
      <c r="Y1" s="2213"/>
      <c r="Z1" s="2213"/>
      <c r="AA1" s="676"/>
    </row>
    <row r="2" spans="1:28" ht="6.75" customHeight="1">
      <c r="A2" s="672"/>
      <c r="B2" s="673"/>
      <c r="C2" s="673"/>
      <c r="D2" s="673"/>
      <c r="E2" s="673"/>
      <c r="F2" s="674"/>
      <c r="G2" s="674"/>
      <c r="H2" s="674"/>
      <c r="I2" s="674"/>
      <c r="J2" s="674"/>
      <c r="K2" s="674"/>
      <c r="L2" s="674"/>
      <c r="M2" s="675"/>
      <c r="N2" s="675"/>
      <c r="O2" s="675"/>
      <c r="P2" s="675"/>
      <c r="Q2" s="675"/>
      <c r="R2" s="675"/>
      <c r="S2" s="675"/>
      <c r="T2" s="675"/>
      <c r="U2" s="805"/>
      <c r="V2" s="805"/>
      <c r="W2" s="805"/>
      <c r="X2" s="806"/>
      <c r="Y2" s="806"/>
      <c r="Z2" s="806"/>
      <c r="AA2" s="804"/>
    </row>
    <row r="3" spans="1:28" ht="20.25" customHeight="1">
      <c r="A3" s="2266" t="s">
        <v>145</v>
      </c>
      <c r="B3" s="2266"/>
      <c r="C3" s="2266"/>
      <c r="D3" s="2266"/>
      <c r="E3" s="2266"/>
      <c r="F3" s="2266"/>
      <c r="G3" s="2266"/>
      <c r="H3" s="2266"/>
      <c r="I3" s="2266"/>
      <c r="J3" s="2266"/>
      <c r="K3" s="2266"/>
      <c r="L3" s="2266"/>
      <c r="M3" s="2266"/>
      <c r="N3" s="2266"/>
      <c r="O3" s="2266"/>
      <c r="P3" s="2266"/>
      <c r="Q3" s="2266"/>
      <c r="R3" s="2266"/>
      <c r="S3" s="2266"/>
      <c r="T3" s="2266"/>
      <c r="U3" s="2266"/>
      <c r="V3" s="2266"/>
      <c r="W3" s="2266"/>
      <c r="X3" s="2266"/>
      <c r="Y3" s="2266"/>
      <c r="Z3" s="2266"/>
      <c r="AA3" s="2266"/>
    </row>
    <row r="4" spans="1:28" ht="28.5" customHeight="1">
      <c r="A4" s="2267" t="s">
        <v>178</v>
      </c>
      <c r="B4" s="2267"/>
      <c r="C4" s="2267"/>
      <c r="D4" s="2267"/>
      <c r="E4" s="2267"/>
      <c r="F4" s="2267"/>
      <c r="G4" s="2267"/>
      <c r="H4" s="2267"/>
      <c r="I4" s="2267"/>
      <c r="J4" s="2267"/>
      <c r="K4" s="2267"/>
      <c r="L4" s="2267"/>
      <c r="M4" s="2267"/>
      <c r="N4" s="2267"/>
      <c r="O4" s="2267"/>
      <c r="P4" s="2267"/>
      <c r="Q4" s="2267"/>
      <c r="R4" s="2267"/>
      <c r="S4" s="2267"/>
      <c r="T4" s="2267"/>
      <c r="U4" s="2267"/>
      <c r="V4" s="2267"/>
      <c r="W4" s="2267"/>
      <c r="X4" s="2267"/>
      <c r="Y4" s="2267"/>
      <c r="Z4" s="2267"/>
      <c r="AA4" s="2267"/>
    </row>
    <row r="5" spans="1:28" ht="10.5" customHeight="1">
      <c r="A5" s="807"/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36"/>
    </row>
    <row r="6" spans="1:28" ht="28.5" customHeight="1" thickBot="1">
      <c r="A6" s="807"/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</row>
    <row r="7" spans="1:28" ht="10.5" thickTop="1">
      <c r="A7" s="2268" t="s">
        <v>147</v>
      </c>
      <c r="B7" s="2272" t="s">
        <v>106</v>
      </c>
      <c r="C7" s="2272"/>
      <c r="D7" s="2272" t="s">
        <v>107</v>
      </c>
      <c r="E7" s="2272"/>
      <c r="F7" s="2272" t="s">
        <v>108</v>
      </c>
      <c r="G7" s="2272"/>
      <c r="H7" s="2272"/>
      <c r="I7" s="2272"/>
      <c r="J7" s="2274" t="s">
        <v>109</v>
      </c>
      <c r="K7" s="2275"/>
      <c r="L7" s="2280" t="s">
        <v>110</v>
      </c>
      <c r="M7" s="2274" t="s">
        <v>111</v>
      </c>
      <c r="N7" s="2282"/>
      <c r="O7" s="2282"/>
      <c r="P7" s="2283"/>
      <c r="Q7" s="2283"/>
      <c r="R7" s="2283"/>
      <c r="S7" s="2283"/>
      <c r="T7" s="2283"/>
      <c r="U7" s="2283"/>
      <c r="V7" s="2283"/>
      <c r="W7" s="2283"/>
      <c r="X7" s="2283"/>
      <c r="Y7" s="2283"/>
      <c r="Z7" s="2283"/>
      <c r="AA7" s="2284"/>
    </row>
    <row r="8" spans="1:28">
      <c r="A8" s="2269"/>
      <c r="B8" s="2273"/>
      <c r="C8" s="2273"/>
      <c r="D8" s="2273"/>
      <c r="E8" s="2273"/>
      <c r="F8" s="2273"/>
      <c r="G8" s="2273"/>
      <c r="H8" s="2273"/>
      <c r="I8" s="2273"/>
      <c r="J8" s="2276"/>
      <c r="K8" s="2277"/>
      <c r="L8" s="2281"/>
      <c r="M8" s="2285"/>
      <c r="N8" s="2286"/>
      <c r="O8" s="2286"/>
      <c r="P8" s="2287"/>
      <c r="Q8" s="2287"/>
      <c r="R8" s="2287"/>
      <c r="S8" s="2287"/>
      <c r="T8" s="2287"/>
      <c r="U8" s="2287"/>
      <c r="V8" s="2287"/>
      <c r="W8" s="2287"/>
      <c r="X8" s="2287"/>
      <c r="Y8" s="2287"/>
      <c r="Z8" s="2287"/>
      <c r="AA8" s="2288"/>
    </row>
    <row r="9" spans="1:28">
      <c r="A9" s="2269"/>
      <c r="B9" s="2253" t="s">
        <v>112</v>
      </c>
      <c r="C9" s="2254"/>
      <c r="D9" s="2253" t="s">
        <v>113</v>
      </c>
      <c r="E9" s="2254"/>
      <c r="F9" s="2253" t="s">
        <v>114</v>
      </c>
      <c r="G9" s="2257"/>
      <c r="H9" s="2257"/>
      <c r="I9" s="2254"/>
      <c r="J9" s="2276"/>
      <c r="K9" s="2277"/>
      <c r="L9" s="2281"/>
      <c r="M9" s="2289"/>
      <c r="N9" s="2290"/>
      <c r="O9" s="2290"/>
      <c r="P9" s="2290"/>
      <c r="Q9" s="2290"/>
      <c r="R9" s="2290"/>
      <c r="S9" s="2290"/>
      <c r="T9" s="2290"/>
      <c r="U9" s="2290"/>
      <c r="V9" s="2290"/>
      <c r="W9" s="2290"/>
      <c r="X9" s="2290"/>
      <c r="Y9" s="2290"/>
      <c r="Z9" s="2290"/>
      <c r="AA9" s="2291"/>
    </row>
    <row r="10" spans="1:28">
      <c r="A10" s="2269"/>
      <c r="B10" s="2255"/>
      <c r="C10" s="2256"/>
      <c r="D10" s="2255"/>
      <c r="E10" s="2256"/>
      <c r="F10" s="2255"/>
      <c r="G10" s="2258"/>
      <c r="H10" s="2258"/>
      <c r="I10" s="2256"/>
      <c r="J10" s="2276"/>
      <c r="K10" s="2277"/>
      <c r="L10" s="2281"/>
      <c r="M10" s="2259" t="s">
        <v>115</v>
      </c>
      <c r="N10" s="2262" t="s">
        <v>116</v>
      </c>
      <c r="O10" s="678"/>
      <c r="P10" s="2262">
        <v>2012</v>
      </c>
      <c r="Q10" s="2262">
        <v>2013</v>
      </c>
      <c r="R10" s="2250">
        <v>2014</v>
      </c>
      <c r="S10" s="2250">
        <v>2015</v>
      </c>
      <c r="T10" s="2250">
        <v>2016</v>
      </c>
      <c r="U10" s="2250">
        <v>2017</v>
      </c>
      <c r="V10" s="2250">
        <v>2018</v>
      </c>
      <c r="W10" s="2250">
        <v>2019</v>
      </c>
      <c r="X10" s="2250">
        <v>2020</v>
      </c>
      <c r="Y10" s="2250">
        <v>2021</v>
      </c>
      <c r="Z10" s="2250">
        <v>2022</v>
      </c>
      <c r="AA10" s="2292">
        <v>2023</v>
      </c>
    </row>
    <row r="11" spans="1:28">
      <c r="A11" s="2270"/>
      <c r="B11" s="2295" t="s">
        <v>119</v>
      </c>
      <c r="C11" s="2296"/>
      <c r="D11" s="2296"/>
      <c r="E11" s="2296"/>
      <c r="F11" s="2296"/>
      <c r="G11" s="2296"/>
      <c r="H11" s="2296"/>
      <c r="I11" s="2297"/>
      <c r="J11" s="2276"/>
      <c r="K11" s="2277"/>
      <c r="L11" s="2281"/>
      <c r="M11" s="2260"/>
      <c r="N11" s="2263"/>
      <c r="O11" s="679"/>
      <c r="P11" s="2263"/>
      <c r="Q11" s="2263"/>
      <c r="R11" s="2251"/>
      <c r="S11" s="2251"/>
      <c r="T11" s="2251"/>
      <c r="U11" s="2251"/>
      <c r="V11" s="2251"/>
      <c r="W11" s="2251"/>
      <c r="X11" s="2251"/>
      <c r="Y11" s="2251"/>
      <c r="Z11" s="2251"/>
      <c r="AA11" s="2293"/>
    </row>
    <row r="12" spans="1:28">
      <c r="A12" s="2270"/>
      <c r="B12" s="2276"/>
      <c r="C12" s="2298"/>
      <c r="D12" s="2298"/>
      <c r="E12" s="2298"/>
      <c r="F12" s="2298"/>
      <c r="G12" s="2298"/>
      <c r="H12" s="2298"/>
      <c r="I12" s="2277"/>
      <c r="J12" s="2278"/>
      <c r="K12" s="2279"/>
      <c r="L12" s="2281"/>
      <c r="M12" s="2260"/>
      <c r="N12" s="2263"/>
      <c r="O12" s="679"/>
      <c r="P12" s="2263"/>
      <c r="Q12" s="2263"/>
      <c r="R12" s="2251"/>
      <c r="S12" s="2251"/>
      <c r="T12" s="2251"/>
      <c r="U12" s="2251"/>
      <c r="V12" s="2251"/>
      <c r="W12" s="2251"/>
      <c r="X12" s="2251"/>
      <c r="Y12" s="2251"/>
      <c r="Z12" s="2251"/>
      <c r="AA12" s="2293"/>
    </row>
    <row r="13" spans="1:28">
      <c r="A13" s="2270"/>
      <c r="B13" s="2276"/>
      <c r="C13" s="2298"/>
      <c r="D13" s="2298"/>
      <c r="E13" s="2298"/>
      <c r="F13" s="2298"/>
      <c r="G13" s="2298"/>
      <c r="H13" s="2298"/>
      <c r="I13" s="2277"/>
      <c r="J13" s="2300" t="s">
        <v>120</v>
      </c>
      <c r="K13" s="2300" t="s">
        <v>121</v>
      </c>
      <c r="L13" s="2302" t="s">
        <v>398</v>
      </c>
      <c r="M13" s="2260"/>
      <c r="N13" s="2263"/>
      <c r="O13" s="679"/>
      <c r="P13" s="2263"/>
      <c r="Q13" s="2263"/>
      <c r="R13" s="2251"/>
      <c r="S13" s="2251"/>
      <c r="T13" s="2251"/>
      <c r="U13" s="2251"/>
      <c r="V13" s="2251"/>
      <c r="W13" s="2251"/>
      <c r="X13" s="2251"/>
      <c r="Y13" s="2251"/>
      <c r="Z13" s="2251"/>
      <c r="AA13" s="2293"/>
    </row>
    <row r="14" spans="1:28">
      <c r="A14" s="2270"/>
      <c r="B14" s="2278"/>
      <c r="C14" s="2299"/>
      <c r="D14" s="2299"/>
      <c r="E14" s="2299"/>
      <c r="F14" s="2299"/>
      <c r="G14" s="2299"/>
      <c r="H14" s="2299"/>
      <c r="I14" s="2279"/>
      <c r="J14" s="2300"/>
      <c r="K14" s="2300"/>
      <c r="L14" s="2302"/>
      <c r="M14" s="2260"/>
      <c r="N14" s="2263"/>
      <c r="O14" s="679"/>
      <c r="P14" s="2263"/>
      <c r="Q14" s="2263"/>
      <c r="R14" s="2251"/>
      <c r="S14" s="2251"/>
      <c r="T14" s="2251"/>
      <c r="U14" s="2251"/>
      <c r="V14" s="2251"/>
      <c r="W14" s="2251"/>
      <c r="X14" s="2251"/>
      <c r="Y14" s="2251"/>
      <c r="Z14" s="2251"/>
      <c r="AA14" s="2293"/>
    </row>
    <row r="15" spans="1:28">
      <c r="A15" s="2270"/>
      <c r="B15" s="2295" t="s">
        <v>123</v>
      </c>
      <c r="C15" s="2296"/>
      <c r="D15" s="2296"/>
      <c r="E15" s="2296"/>
      <c r="F15" s="2296"/>
      <c r="G15" s="2296"/>
      <c r="H15" s="2296"/>
      <c r="I15" s="2297"/>
      <c r="J15" s="2300"/>
      <c r="K15" s="2300"/>
      <c r="L15" s="2302"/>
      <c r="M15" s="2260"/>
      <c r="N15" s="2263"/>
      <c r="O15" s="679"/>
      <c r="P15" s="2263"/>
      <c r="Q15" s="2263"/>
      <c r="R15" s="2251"/>
      <c r="S15" s="2251"/>
      <c r="T15" s="2251"/>
      <c r="U15" s="2251"/>
      <c r="V15" s="2251"/>
      <c r="W15" s="2251"/>
      <c r="X15" s="2251"/>
      <c r="Y15" s="2251"/>
      <c r="Z15" s="2251"/>
      <c r="AA15" s="2293"/>
    </row>
    <row r="16" spans="1:28">
      <c r="A16" s="2270"/>
      <c r="B16" s="2276"/>
      <c r="C16" s="2298"/>
      <c r="D16" s="2298"/>
      <c r="E16" s="2298"/>
      <c r="F16" s="2298"/>
      <c r="G16" s="2298"/>
      <c r="H16" s="2298"/>
      <c r="I16" s="2277"/>
      <c r="J16" s="2300"/>
      <c r="K16" s="2300"/>
      <c r="L16" s="2302"/>
      <c r="M16" s="2260"/>
      <c r="N16" s="2263"/>
      <c r="O16" s="679"/>
      <c r="P16" s="2263"/>
      <c r="Q16" s="2263"/>
      <c r="R16" s="2251"/>
      <c r="S16" s="2251"/>
      <c r="T16" s="2251"/>
      <c r="U16" s="2251"/>
      <c r="V16" s="2251"/>
      <c r="W16" s="2251"/>
      <c r="X16" s="2251"/>
      <c r="Y16" s="2251"/>
      <c r="Z16" s="2251"/>
      <c r="AA16" s="2293"/>
    </row>
    <row r="17" spans="1:27">
      <c r="A17" s="2270"/>
      <c r="B17" s="2276"/>
      <c r="C17" s="2298"/>
      <c r="D17" s="2298"/>
      <c r="E17" s="2298"/>
      <c r="F17" s="2298"/>
      <c r="G17" s="2298"/>
      <c r="H17" s="2298"/>
      <c r="I17" s="2277"/>
      <c r="J17" s="2300"/>
      <c r="K17" s="2300"/>
      <c r="L17" s="2302"/>
      <c r="M17" s="2260"/>
      <c r="N17" s="2263"/>
      <c r="O17" s="679"/>
      <c r="P17" s="2263"/>
      <c r="Q17" s="2263"/>
      <c r="R17" s="2251"/>
      <c r="S17" s="2251"/>
      <c r="T17" s="2251"/>
      <c r="U17" s="2251"/>
      <c r="V17" s="2251"/>
      <c r="W17" s="2251"/>
      <c r="X17" s="2251"/>
      <c r="Y17" s="2251"/>
      <c r="Z17" s="2251"/>
      <c r="AA17" s="2293"/>
    </row>
    <row r="18" spans="1:27" ht="10.5" thickBot="1">
      <c r="A18" s="2271"/>
      <c r="B18" s="2304"/>
      <c r="C18" s="2305"/>
      <c r="D18" s="2305"/>
      <c r="E18" s="2305"/>
      <c r="F18" s="2305"/>
      <c r="G18" s="2305"/>
      <c r="H18" s="2305"/>
      <c r="I18" s="2306"/>
      <c r="J18" s="2301"/>
      <c r="K18" s="2301"/>
      <c r="L18" s="2303"/>
      <c r="M18" s="2261"/>
      <c r="N18" s="2264"/>
      <c r="O18" s="680"/>
      <c r="P18" s="2265"/>
      <c r="Q18" s="2265"/>
      <c r="R18" s="2252"/>
      <c r="S18" s="2252"/>
      <c r="T18" s="2252"/>
      <c r="U18" s="2252"/>
      <c r="V18" s="2252"/>
      <c r="W18" s="2252"/>
      <c r="X18" s="2252"/>
      <c r="Y18" s="2252"/>
      <c r="Z18" s="2252"/>
      <c r="AA18" s="2294"/>
    </row>
    <row r="19" spans="1:27" ht="13.5" customHeight="1" thickTop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2.25" customHeight="1" thickBot="1">
      <c r="A20" s="23"/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683"/>
      <c r="M20" s="684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0.5" thickTop="1">
      <c r="A21" s="2237">
        <v>1</v>
      </c>
      <c r="B21" s="2242" t="s">
        <v>106</v>
      </c>
      <c r="C21" s="2243"/>
      <c r="D21" s="2243">
        <v>757</v>
      </c>
      <c r="E21" s="2243"/>
      <c r="F21" s="1408" t="s">
        <v>180</v>
      </c>
      <c r="G21" s="1408"/>
      <c r="H21" s="1408"/>
      <c r="I21" s="1408"/>
      <c r="J21" s="2227">
        <v>2008</v>
      </c>
      <c r="K21" s="2227">
        <v>2021</v>
      </c>
      <c r="L21" s="2244">
        <v>11667000</v>
      </c>
      <c r="M21" s="2245" t="s">
        <v>125</v>
      </c>
      <c r="N21" s="2215">
        <f>SUM(N25:N32)</f>
        <v>9206354.0799999982</v>
      </c>
      <c r="O21" s="2227" t="s">
        <v>117</v>
      </c>
      <c r="P21" s="2215">
        <f t="shared" ref="P21:Z21" si="0">SUM(P25:P32)</f>
        <v>0</v>
      </c>
      <c r="Q21" s="2215">
        <f t="shared" si="0"/>
        <v>1022154.76</v>
      </c>
      <c r="R21" s="2215">
        <f t="shared" si="0"/>
        <v>1022154.76</v>
      </c>
      <c r="S21" s="2215">
        <f t="shared" si="0"/>
        <v>1022154.76</v>
      </c>
      <c r="T21" s="2215">
        <f t="shared" si="0"/>
        <v>1022154.76</v>
      </c>
      <c r="U21" s="2215">
        <f t="shared" si="0"/>
        <v>1022154.76</v>
      </c>
      <c r="V21" s="2215">
        <f t="shared" si="0"/>
        <v>1022154.76</v>
      </c>
      <c r="W21" s="2215">
        <f t="shared" si="0"/>
        <v>1022154.76</v>
      </c>
      <c r="X21" s="2215">
        <f t="shared" si="0"/>
        <v>1022154.76</v>
      </c>
      <c r="Y21" s="2215">
        <f>SUM(Y25:Y32)</f>
        <v>1029116</v>
      </c>
      <c r="Z21" s="2215">
        <f t="shared" si="0"/>
        <v>0</v>
      </c>
      <c r="AA21" s="2228" t="s">
        <v>241</v>
      </c>
    </row>
    <row r="22" spans="1:27">
      <c r="A22" s="2238"/>
      <c r="B22" s="2190"/>
      <c r="C22" s="2191"/>
      <c r="D22" s="2191"/>
      <c r="E22" s="2191"/>
      <c r="F22" s="1409"/>
      <c r="G22" s="1409"/>
      <c r="H22" s="1409"/>
      <c r="I22" s="1409"/>
      <c r="J22" s="2177"/>
      <c r="K22" s="2177"/>
      <c r="L22" s="2196"/>
      <c r="M22" s="2198"/>
      <c r="N22" s="2182"/>
      <c r="O22" s="2177"/>
      <c r="P22" s="2182"/>
      <c r="Q22" s="2182"/>
      <c r="R22" s="2182"/>
      <c r="S22" s="2182"/>
      <c r="T22" s="2182"/>
      <c r="U22" s="2182"/>
      <c r="V22" s="2182"/>
      <c r="W22" s="2182"/>
      <c r="X22" s="2182"/>
      <c r="Y22" s="2182"/>
      <c r="Z22" s="2182"/>
      <c r="AA22" s="2229"/>
    </row>
    <row r="23" spans="1:27">
      <c r="A23" s="2238"/>
      <c r="B23" s="2168" t="s">
        <v>112</v>
      </c>
      <c r="C23" s="2169"/>
      <c r="D23" s="2169">
        <v>75704</v>
      </c>
      <c r="E23" s="2169"/>
      <c r="F23" s="1409" t="s">
        <v>181</v>
      </c>
      <c r="G23" s="1409"/>
      <c r="H23" s="1409"/>
      <c r="I23" s="1409"/>
      <c r="J23" s="2177"/>
      <c r="K23" s="2177"/>
      <c r="L23" s="2196"/>
      <c r="M23" s="2198"/>
      <c r="N23" s="2182"/>
      <c r="O23" s="2177"/>
      <c r="P23" s="2182"/>
      <c r="Q23" s="2182"/>
      <c r="R23" s="2182"/>
      <c r="S23" s="2182"/>
      <c r="T23" s="2182"/>
      <c r="U23" s="2182"/>
      <c r="V23" s="2182"/>
      <c r="W23" s="2182"/>
      <c r="X23" s="2182"/>
      <c r="Y23" s="2182"/>
      <c r="Z23" s="2182"/>
      <c r="AA23" s="2229"/>
    </row>
    <row r="24" spans="1:27">
      <c r="A24" s="2238"/>
      <c r="B24" s="2170"/>
      <c r="C24" s="2171"/>
      <c r="D24" s="2171"/>
      <c r="E24" s="2171"/>
      <c r="F24" s="1409"/>
      <c r="G24" s="1409"/>
      <c r="H24" s="1409"/>
      <c r="I24" s="1409"/>
      <c r="J24" s="2177"/>
      <c r="K24" s="2177"/>
      <c r="L24" s="2196"/>
      <c r="M24" s="2198"/>
      <c r="N24" s="2182"/>
      <c r="O24" s="2205"/>
      <c r="P24" s="2182"/>
      <c r="Q24" s="2182"/>
      <c r="R24" s="2182"/>
      <c r="S24" s="2182"/>
      <c r="T24" s="2182"/>
      <c r="U24" s="2182"/>
      <c r="V24" s="2182"/>
      <c r="W24" s="2182"/>
      <c r="X24" s="2182"/>
      <c r="Y24" s="2182"/>
      <c r="Z24" s="2182"/>
      <c r="AA24" s="2229"/>
    </row>
    <row r="25" spans="1:27">
      <c r="A25" s="2239"/>
      <c r="B25" s="1411" t="s">
        <v>189</v>
      </c>
      <c r="C25" s="1411"/>
      <c r="D25" s="1411"/>
      <c r="E25" s="1411"/>
      <c r="F25" s="1411"/>
      <c r="G25" s="1411"/>
      <c r="H25" s="1411"/>
      <c r="I25" s="1411"/>
      <c r="J25" s="2194"/>
      <c r="K25" s="2177"/>
      <c r="L25" s="2196"/>
      <c r="M25" s="2172">
        <v>75704</v>
      </c>
      <c r="N25" s="2152">
        <f>SUM(P25:Z32)</f>
        <v>9206354.0799999982</v>
      </c>
      <c r="O25" s="2171" t="s">
        <v>117</v>
      </c>
      <c r="P25" s="2152">
        <v>0</v>
      </c>
      <c r="Q25" s="2152">
        <v>1022154.76</v>
      </c>
      <c r="R25" s="2152">
        <v>1022154.76</v>
      </c>
      <c r="S25" s="2152">
        <v>1022154.76</v>
      </c>
      <c r="T25" s="2152">
        <v>1022154.76</v>
      </c>
      <c r="U25" s="2152">
        <v>1022154.76</v>
      </c>
      <c r="V25" s="2152">
        <v>1022154.76</v>
      </c>
      <c r="W25" s="2152">
        <v>1022154.76</v>
      </c>
      <c r="X25" s="2152">
        <v>1022154.76</v>
      </c>
      <c r="Y25" s="2152">
        <v>1029116</v>
      </c>
      <c r="Z25" s="2152">
        <v>0</v>
      </c>
      <c r="AA25" s="2230" t="s">
        <v>241</v>
      </c>
    </row>
    <row r="26" spans="1:27">
      <c r="A26" s="2239"/>
      <c r="B26" s="1411"/>
      <c r="C26" s="1411"/>
      <c r="D26" s="1411"/>
      <c r="E26" s="1411"/>
      <c r="F26" s="1411"/>
      <c r="G26" s="1411"/>
      <c r="H26" s="1411"/>
      <c r="I26" s="1411"/>
      <c r="J26" s="2194"/>
      <c r="K26" s="2177"/>
      <c r="L26" s="2196"/>
      <c r="M26" s="2173"/>
      <c r="N26" s="2153"/>
      <c r="O26" s="2177"/>
      <c r="P26" s="2153"/>
      <c r="Q26" s="2153"/>
      <c r="R26" s="2153"/>
      <c r="S26" s="2153"/>
      <c r="T26" s="2153"/>
      <c r="U26" s="2153"/>
      <c r="V26" s="2153"/>
      <c r="W26" s="2153"/>
      <c r="X26" s="2153"/>
      <c r="Y26" s="2153"/>
      <c r="Z26" s="2153"/>
      <c r="AA26" s="2231"/>
    </row>
    <row r="27" spans="1:27">
      <c r="A27" s="2239"/>
      <c r="B27" s="1411"/>
      <c r="C27" s="1411"/>
      <c r="D27" s="1411"/>
      <c r="E27" s="1411"/>
      <c r="F27" s="1411"/>
      <c r="G27" s="1411"/>
      <c r="H27" s="1411"/>
      <c r="I27" s="1411"/>
      <c r="J27" s="2194"/>
      <c r="K27" s="2177"/>
      <c r="L27" s="2158">
        <v>0</v>
      </c>
      <c r="M27" s="2173"/>
      <c r="N27" s="2153"/>
      <c r="O27" s="2177"/>
      <c r="P27" s="2153"/>
      <c r="Q27" s="2153"/>
      <c r="R27" s="2153"/>
      <c r="S27" s="2153"/>
      <c r="T27" s="2153"/>
      <c r="U27" s="2153"/>
      <c r="V27" s="2153"/>
      <c r="W27" s="2153"/>
      <c r="X27" s="2153"/>
      <c r="Y27" s="2153"/>
      <c r="Z27" s="2153"/>
      <c r="AA27" s="2231"/>
    </row>
    <row r="28" spans="1:27" ht="18" customHeight="1">
      <c r="A28" s="2239"/>
      <c r="B28" s="1411"/>
      <c r="C28" s="1411"/>
      <c r="D28" s="1411"/>
      <c r="E28" s="1411"/>
      <c r="F28" s="1411"/>
      <c r="G28" s="1411"/>
      <c r="H28" s="1411"/>
      <c r="I28" s="1411"/>
      <c r="J28" s="2194"/>
      <c r="K28" s="2177"/>
      <c r="L28" s="2158"/>
      <c r="M28" s="2173"/>
      <c r="N28" s="2153"/>
      <c r="O28" s="2177"/>
      <c r="P28" s="2153"/>
      <c r="Q28" s="2153"/>
      <c r="R28" s="2153"/>
      <c r="S28" s="2153"/>
      <c r="T28" s="2153"/>
      <c r="U28" s="2153"/>
      <c r="V28" s="2153"/>
      <c r="W28" s="2153"/>
      <c r="X28" s="2153"/>
      <c r="Y28" s="2153"/>
      <c r="Z28" s="2153"/>
      <c r="AA28" s="2231"/>
    </row>
    <row r="29" spans="1:27">
      <c r="A29" s="2240"/>
      <c r="B29" s="2199" t="s">
        <v>190</v>
      </c>
      <c r="C29" s="2200"/>
      <c r="D29" s="2200"/>
      <c r="E29" s="2200"/>
      <c r="F29" s="2200"/>
      <c r="G29" s="2200"/>
      <c r="H29" s="2200"/>
      <c r="I29" s="2201"/>
      <c r="J29" s="2177"/>
      <c r="K29" s="2177"/>
      <c r="L29" s="2158"/>
      <c r="M29" s="2173"/>
      <c r="N29" s="2153"/>
      <c r="O29" s="2177"/>
      <c r="P29" s="2153"/>
      <c r="Q29" s="2153"/>
      <c r="R29" s="2153"/>
      <c r="S29" s="2153"/>
      <c r="T29" s="2153"/>
      <c r="U29" s="2153"/>
      <c r="V29" s="2153"/>
      <c r="W29" s="2153"/>
      <c r="X29" s="2153"/>
      <c r="Y29" s="2153"/>
      <c r="Z29" s="2153"/>
      <c r="AA29" s="2231"/>
    </row>
    <row r="30" spans="1:27">
      <c r="A30" s="2240"/>
      <c r="B30" s="2199"/>
      <c r="C30" s="2200"/>
      <c r="D30" s="2200"/>
      <c r="E30" s="2200"/>
      <c r="F30" s="2200"/>
      <c r="G30" s="2200"/>
      <c r="H30" s="2200"/>
      <c r="I30" s="2201"/>
      <c r="J30" s="2177"/>
      <c r="K30" s="2177"/>
      <c r="L30" s="2158"/>
      <c r="M30" s="2173"/>
      <c r="N30" s="2153"/>
      <c r="O30" s="2177"/>
      <c r="P30" s="2153"/>
      <c r="Q30" s="2153"/>
      <c r="R30" s="2153"/>
      <c r="S30" s="2153"/>
      <c r="T30" s="2153"/>
      <c r="U30" s="2153"/>
      <c r="V30" s="2153"/>
      <c r="W30" s="2153"/>
      <c r="X30" s="2153"/>
      <c r="Y30" s="2153"/>
      <c r="Z30" s="2153"/>
      <c r="AA30" s="2231"/>
    </row>
    <row r="31" spans="1:27">
      <c r="A31" s="2240"/>
      <c r="B31" s="2199"/>
      <c r="C31" s="2200"/>
      <c r="D31" s="2200"/>
      <c r="E31" s="2200"/>
      <c r="F31" s="2200"/>
      <c r="G31" s="2200"/>
      <c r="H31" s="2200"/>
      <c r="I31" s="2201"/>
      <c r="J31" s="2177"/>
      <c r="K31" s="2177"/>
      <c r="L31" s="2158"/>
      <c r="M31" s="2173"/>
      <c r="N31" s="2153"/>
      <c r="O31" s="2177"/>
      <c r="P31" s="2153"/>
      <c r="Q31" s="2153"/>
      <c r="R31" s="2153"/>
      <c r="S31" s="2153"/>
      <c r="T31" s="2153"/>
      <c r="U31" s="2153"/>
      <c r="V31" s="2153"/>
      <c r="W31" s="2153"/>
      <c r="X31" s="2153"/>
      <c r="Y31" s="2153"/>
      <c r="Z31" s="2153"/>
      <c r="AA31" s="2231"/>
    </row>
    <row r="32" spans="1:27" ht="10.5" thickBot="1">
      <c r="A32" s="2241"/>
      <c r="B32" s="2246"/>
      <c r="C32" s="2247"/>
      <c r="D32" s="2247"/>
      <c r="E32" s="2247"/>
      <c r="F32" s="2247"/>
      <c r="G32" s="2247"/>
      <c r="H32" s="2247"/>
      <c r="I32" s="2248"/>
      <c r="J32" s="2236"/>
      <c r="K32" s="2236"/>
      <c r="L32" s="2249"/>
      <c r="M32" s="2235"/>
      <c r="N32" s="2214"/>
      <c r="O32" s="2236"/>
      <c r="P32" s="2214"/>
      <c r="Q32" s="2214"/>
      <c r="R32" s="2214"/>
      <c r="S32" s="2214"/>
      <c r="T32" s="2214"/>
      <c r="U32" s="2214"/>
      <c r="V32" s="2214"/>
      <c r="W32" s="2214"/>
      <c r="X32" s="2214"/>
      <c r="Y32" s="2214"/>
      <c r="Z32" s="2214"/>
      <c r="AA32" s="2232"/>
    </row>
    <row r="33" spans="1:27" ht="13.5" customHeight="1" thickTop="1">
      <c r="A33" s="23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683"/>
      <c r="M33" s="684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.5" customHeight="1" thickBot="1">
      <c r="A34" s="23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683"/>
      <c r="M34" s="684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0.5" thickTop="1">
      <c r="A35" s="2237">
        <v>2</v>
      </c>
      <c r="B35" s="2242" t="s">
        <v>106</v>
      </c>
      <c r="C35" s="2243"/>
      <c r="D35" s="2243">
        <v>757</v>
      </c>
      <c r="E35" s="2243"/>
      <c r="F35" s="1408" t="s">
        <v>180</v>
      </c>
      <c r="G35" s="1408"/>
      <c r="H35" s="1408"/>
      <c r="I35" s="1408"/>
      <c r="J35" s="2227">
        <v>2010</v>
      </c>
      <c r="K35" s="2227">
        <v>2020</v>
      </c>
      <c r="L35" s="2244">
        <v>5589677</v>
      </c>
      <c r="M35" s="2245" t="s">
        <v>125</v>
      </c>
      <c r="N35" s="2215">
        <f>SUM(N39:N46)</f>
        <v>4813377</v>
      </c>
      <c r="O35" s="2227" t="s">
        <v>117</v>
      </c>
      <c r="P35" s="2215">
        <f t="shared" ref="P35:Z35" si="1">SUM(P39:P46)</f>
        <v>0</v>
      </c>
      <c r="Q35" s="2215">
        <f t="shared" si="1"/>
        <v>621040</v>
      </c>
      <c r="R35" s="2215">
        <f t="shared" si="1"/>
        <v>621040</v>
      </c>
      <c r="S35" s="2215">
        <f t="shared" si="1"/>
        <v>621040</v>
      </c>
      <c r="T35" s="2215">
        <f t="shared" si="1"/>
        <v>621040</v>
      </c>
      <c r="U35" s="2215">
        <f t="shared" si="1"/>
        <v>621040</v>
      </c>
      <c r="V35" s="2215">
        <f t="shared" si="1"/>
        <v>621040</v>
      </c>
      <c r="W35" s="2215">
        <f t="shared" si="1"/>
        <v>621040</v>
      </c>
      <c r="X35" s="2215">
        <f t="shared" si="1"/>
        <v>466097</v>
      </c>
      <c r="Y35" s="2215">
        <f t="shared" si="1"/>
        <v>0</v>
      </c>
      <c r="Z35" s="2215">
        <f t="shared" si="1"/>
        <v>0</v>
      </c>
      <c r="AA35" s="2228" t="s">
        <v>241</v>
      </c>
    </row>
    <row r="36" spans="1:27">
      <c r="A36" s="2238"/>
      <c r="B36" s="2190"/>
      <c r="C36" s="2191"/>
      <c r="D36" s="2191"/>
      <c r="E36" s="2191"/>
      <c r="F36" s="1409"/>
      <c r="G36" s="1409"/>
      <c r="H36" s="1409"/>
      <c r="I36" s="1409"/>
      <c r="J36" s="2177"/>
      <c r="K36" s="2177"/>
      <c r="L36" s="2196"/>
      <c r="M36" s="2198"/>
      <c r="N36" s="2182"/>
      <c r="O36" s="2177"/>
      <c r="P36" s="2182"/>
      <c r="Q36" s="2182"/>
      <c r="R36" s="2182"/>
      <c r="S36" s="2182"/>
      <c r="T36" s="2182"/>
      <c r="U36" s="2182"/>
      <c r="V36" s="2182"/>
      <c r="W36" s="2182"/>
      <c r="X36" s="2182"/>
      <c r="Y36" s="2182"/>
      <c r="Z36" s="2182"/>
      <c r="AA36" s="2229"/>
    </row>
    <row r="37" spans="1:27">
      <c r="A37" s="2238"/>
      <c r="B37" s="2168" t="s">
        <v>112</v>
      </c>
      <c r="C37" s="2169"/>
      <c r="D37" s="2169">
        <v>75704</v>
      </c>
      <c r="E37" s="2169"/>
      <c r="F37" s="1409" t="s">
        <v>181</v>
      </c>
      <c r="G37" s="1409"/>
      <c r="H37" s="1409"/>
      <c r="I37" s="1409"/>
      <c r="J37" s="2177"/>
      <c r="K37" s="2177"/>
      <c r="L37" s="2196"/>
      <c r="M37" s="2198"/>
      <c r="N37" s="2182"/>
      <c r="O37" s="2177"/>
      <c r="P37" s="2182"/>
      <c r="Q37" s="2182"/>
      <c r="R37" s="2182"/>
      <c r="S37" s="2182"/>
      <c r="T37" s="2182"/>
      <c r="U37" s="2182"/>
      <c r="V37" s="2182"/>
      <c r="W37" s="2182"/>
      <c r="X37" s="2182"/>
      <c r="Y37" s="2182"/>
      <c r="Z37" s="2182"/>
      <c r="AA37" s="2229"/>
    </row>
    <row r="38" spans="1:27">
      <c r="A38" s="2238"/>
      <c r="B38" s="2170"/>
      <c r="C38" s="2171"/>
      <c r="D38" s="2171"/>
      <c r="E38" s="2171"/>
      <c r="F38" s="1409"/>
      <c r="G38" s="1409"/>
      <c r="H38" s="1409"/>
      <c r="I38" s="1409"/>
      <c r="J38" s="2177"/>
      <c r="K38" s="2177"/>
      <c r="L38" s="2196"/>
      <c r="M38" s="2198"/>
      <c r="N38" s="2182"/>
      <c r="O38" s="2205"/>
      <c r="P38" s="2182"/>
      <c r="Q38" s="2182"/>
      <c r="R38" s="2182"/>
      <c r="S38" s="2182"/>
      <c r="T38" s="2182"/>
      <c r="U38" s="2182"/>
      <c r="V38" s="2182"/>
      <c r="W38" s="2182"/>
      <c r="X38" s="2182"/>
      <c r="Y38" s="2182"/>
      <c r="Z38" s="2182"/>
      <c r="AA38" s="2229"/>
    </row>
    <row r="39" spans="1:27">
      <c r="A39" s="2239"/>
      <c r="B39" s="1411" t="s">
        <v>466</v>
      </c>
      <c r="C39" s="1411"/>
      <c r="D39" s="1411"/>
      <c r="E39" s="1411"/>
      <c r="F39" s="1411"/>
      <c r="G39" s="1411"/>
      <c r="H39" s="1411"/>
      <c r="I39" s="1411"/>
      <c r="J39" s="2194"/>
      <c r="K39" s="2177"/>
      <c r="L39" s="2196"/>
      <c r="M39" s="2172">
        <v>75704</v>
      </c>
      <c r="N39" s="2152">
        <f>SUM(P39:Z46)</f>
        <v>4813377</v>
      </c>
      <c r="O39" s="2171" t="s">
        <v>117</v>
      </c>
      <c r="P39" s="2152">
        <v>0</v>
      </c>
      <c r="Q39" s="2152">
        <v>621040</v>
      </c>
      <c r="R39" s="2152">
        <v>621040</v>
      </c>
      <c r="S39" s="2152">
        <v>621040</v>
      </c>
      <c r="T39" s="2152">
        <v>621040</v>
      </c>
      <c r="U39" s="2152">
        <v>621040</v>
      </c>
      <c r="V39" s="2152">
        <v>621040</v>
      </c>
      <c r="W39" s="2152">
        <v>621040</v>
      </c>
      <c r="X39" s="2152">
        <v>466097</v>
      </c>
      <c r="Y39" s="2152">
        <v>0</v>
      </c>
      <c r="Z39" s="2152">
        <v>0</v>
      </c>
      <c r="AA39" s="2230" t="s">
        <v>241</v>
      </c>
    </row>
    <row r="40" spans="1:27">
      <c r="A40" s="2239"/>
      <c r="B40" s="1411"/>
      <c r="C40" s="1411"/>
      <c r="D40" s="1411"/>
      <c r="E40" s="1411"/>
      <c r="F40" s="1411"/>
      <c r="G40" s="1411"/>
      <c r="H40" s="1411"/>
      <c r="I40" s="1411"/>
      <c r="J40" s="2194"/>
      <c r="K40" s="2177"/>
      <c r="L40" s="2196"/>
      <c r="M40" s="2173"/>
      <c r="N40" s="2153"/>
      <c r="O40" s="2177"/>
      <c r="P40" s="2153"/>
      <c r="Q40" s="2153"/>
      <c r="R40" s="2153"/>
      <c r="S40" s="2153"/>
      <c r="T40" s="2153"/>
      <c r="U40" s="2153"/>
      <c r="V40" s="2153"/>
      <c r="W40" s="2153"/>
      <c r="X40" s="2153"/>
      <c r="Y40" s="2153"/>
      <c r="Z40" s="2153"/>
      <c r="AA40" s="2231"/>
    </row>
    <row r="41" spans="1:27">
      <c r="A41" s="2239"/>
      <c r="B41" s="1411"/>
      <c r="C41" s="1411"/>
      <c r="D41" s="1411"/>
      <c r="E41" s="1411"/>
      <c r="F41" s="1411"/>
      <c r="G41" s="1411"/>
      <c r="H41" s="1411"/>
      <c r="I41" s="1411"/>
      <c r="J41" s="2194"/>
      <c r="K41" s="2177"/>
      <c r="L41" s="2158">
        <v>0</v>
      </c>
      <c r="M41" s="2173"/>
      <c r="N41" s="2153"/>
      <c r="O41" s="2177"/>
      <c r="P41" s="2153"/>
      <c r="Q41" s="2153"/>
      <c r="R41" s="2153"/>
      <c r="S41" s="2153"/>
      <c r="T41" s="2153"/>
      <c r="U41" s="2153"/>
      <c r="V41" s="2153"/>
      <c r="W41" s="2153"/>
      <c r="X41" s="2153"/>
      <c r="Y41" s="2153"/>
      <c r="Z41" s="2153"/>
      <c r="AA41" s="2231"/>
    </row>
    <row r="42" spans="1:27" ht="26.25" customHeight="1">
      <c r="A42" s="2239"/>
      <c r="B42" s="1411"/>
      <c r="C42" s="1411"/>
      <c r="D42" s="1411"/>
      <c r="E42" s="1411"/>
      <c r="F42" s="1411"/>
      <c r="G42" s="1411"/>
      <c r="H42" s="1411"/>
      <c r="I42" s="1411"/>
      <c r="J42" s="2194"/>
      <c r="K42" s="2177"/>
      <c r="L42" s="2158"/>
      <c r="M42" s="2173"/>
      <c r="N42" s="2153"/>
      <c r="O42" s="2177"/>
      <c r="P42" s="2153"/>
      <c r="Q42" s="2153"/>
      <c r="R42" s="2153"/>
      <c r="S42" s="2153"/>
      <c r="T42" s="2153"/>
      <c r="U42" s="2153"/>
      <c r="V42" s="2153"/>
      <c r="W42" s="2153"/>
      <c r="X42" s="2153"/>
      <c r="Y42" s="2153"/>
      <c r="Z42" s="2153"/>
      <c r="AA42" s="2231"/>
    </row>
    <row r="43" spans="1:27">
      <c r="A43" s="2240"/>
      <c r="B43" s="2199" t="s">
        <v>190</v>
      </c>
      <c r="C43" s="2200"/>
      <c r="D43" s="2200"/>
      <c r="E43" s="2200"/>
      <c r="F43" s="2200"/>
      <c r="G43" s="2200"/>
      <c r="H43" s="2200"/>
      <c r="I43" s="2201"/>
      <c r="J43" s="2177"/>
      <c r="K43" s="2177"/>
      <c r="L43" s="2158"/>
      <c r="M43" s="2173"/>
      <c r="N43" s="2153"/>
      <c r="O43" s="2177"/>
      <c r="P43" s="2153"/>
      <c r="Q43" s="2153"/>
      <c r="R43" s="2153"/>
      <c r="S43" s="2153"/>
      <c r="T43" s="2153"/>
      <c r="U43" s="2153"/>
      <c r="V43" s="2153"/>
      <c r="W43" s="2153"/>
      <c r="X43" s="2153"/>
      <c r="Y43" s="2153"/>
      <c r="Z43" s="2153"/>
      <c r="AA43" s="2231"/>
    </row>
    <row r="44" spans="1:27">
      <c r="A44" s="2240"/>
      <c r="B44" s="2199"/>
      <c r="C44" s="2200"/>
      <c r="D44" s="2200"/>
      <c r="E44" s="2200"/>
      <c r="F44" s="2200"/>
      <c r="G44" s="2200"/>
      <c r="H44" s="2200"/>
      <c r="I44" s="2201"/>
      <c r="J44" s="2177"/>
      <c r="K44" s="2177"/>
      <c r="L44" s="2158"/>
      <c r="M44" s="2173"/>
      <c r="N44" s="2153"/>
      <c r="O44" s="2177"/>
      <c r="P44" s="2153"/>
      <c r="Q44" s="2153"/>
      <c r="R44" s="2153"/>
      <c r="S44" s="2153"/>
      <c r="T44" s="2153"/>
      <c r="U44" s="2153"/>
      <c r="V44" s="2153"/>
      <c r="W44" s="2153"/>
      <c r="X44" s="2153"/>
      <c r="Y44" s="2153"/>
      <c r="Z44" s="2153"/>
      <c r="AA44" s="2231"/>
    </row>
    <row r="45" spans="1:27">
      <c r="A45" s="2240"/>
      <c r="B45" s="2199"/>
      <c r="C45" s="2200"/>
      <c r="D45" s="2200"/>
      <c r="E45" s="2200"/>
      <c r="F45" s="2200"/>
      <c r="G45" s="2200"/>
      <c r="H45" s="2200"/>
      <c r="I45" s="2201"/>
      <c r="J45" s="2177"/>
      <c r="K45" s="2177"/>
      <c r="L45" s="2158"/>
      <c r="M45" s="2173"/>
      <c r="N45" s="2153"/>
      <c r="O45" s="2177"/>
      <c r="P45" s="2153"/>
      <c r="Q45" s="2153"/>
      <c r="R45" s="2153"/>
      <c r="S45" s="2153"/>
      <c r="T45" s="2153"/>
      <c r="U45" s="2153"/>
      <c r="V45" s="2153"/>
      <c r="W45" s="2153"/>
      <c r="X45" s="2153"/>
      <c r="Y45" s="2153"/>
      <c r="Z45" s="2153"/>
      <c r="AA45" s="2231"/>
    </row>
    <row r="46" spans="1:27" ht="10.5" thickBot="1">
      <c r="A46" s="2241"/>
      <c r="B46" s="2246"/>
      <c r="C46" s="2247"/>
      <c r="D46" s="2247"/>
      <c r="E46" s="2247"/>
      <c r="F46" s="2247"/>
      <c r="G46" s="2247"/>
      <c r="H46" s="2247"/>
      <c r="I46" s="2248"/>
      <c r="J46" s="2236"/>
      <c r="K46" s="2236"/>
      <c r="L46" s="2249"/>
      <c r="M46" s="2235"/>
      <c r="N46" s="2214"/>
      <c r="O46" s="2236"/>
      <c r="P46" s="2214"/>
      <c r="Q46" s="2214"/>
      <c r="R46" s="2214"/>
      <c r="S46" s="2214"/>
      <c r="T46" s="2214"/>
      <c r="U46" s="2214"/>
      <c r="V46" s="2214"/>
      <c r="W46" s="2214"/>
      <c r="X46" s="2214"/>
      <c r="Y46" s="2214"/>
      <c r="Z46" s="2214"/>
      <c r="AA46" s="2232"/>
    </row>
    <row r="47" spans="1:27" ht="13.5" customHeight="1" thickTop="1" thickBot="1">
      <c r="A47" s="23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683"/>
      <c r="M47" s="684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3.5" customHeight="1" thickTop="1">
      <c r="A48" s="2237">
        <v>3</v>
      </c>
      <c r="B48" s="2242" t="s">
        <v>106</v>
      </c>
      <c r="C48" s="2243"/>
      <c r="D48" s="2243">
        <v>757</v>
      </c>
      <c r="E48" s="2243"/>
      <c r="F48" s="1408" t="s">
        <v>180</v>
      </c>
      <c r="G48" s="1408"/>
      <c r="H48" s="1408"/>
      <c r="I48" s="1408"/>
      <c r="J48" s="2227">
        <v>2010</v>
      </c>
      <c r="K48" s="2227">
        <v>2021</v>
      </c>
      <c r="L48" s="2244">
        <v>5333000</v>
      </c>
      <c r="M48" s="2245" t="s">
        <v>125</v>
      </c>
      <c r="N48" s="2215">
        <f>SUM(N52:N59)</f>
        <v>5333000</v>
      </c>
      <c r="O48" s="2227" t="s">
        <v>117</v>
      </c>
      <c r="P48" s="2215">
        <f t="shared" ref="P48:S48" si="2">SUM(P52:P59)</f>
        <v>0</v>
      </c>
      <c r="Q48" s="2215">
        <f t="shared" si="2"/>
        <v>499969</v>
      </c>
      <c r="R48" s="2215">
        <f t="shared" si="2"/>
        <v>666625</v>
      </c>
      <c r="S48" s="2215">
        <f t="shared" si="2"/>
        <v>666625</v>
      </c>
      <c r="T48" s="2215">
        <f>SUM(T52:T59)</f>
        <v>666625</v>
      </c>
      <c r="U48" s="2215">
        <f t="shared" ref="U48:Z48" si="3">SUM(U52:U59)</f>
        <v>666625</v>
      </c>
      <c r="V48" s="2215">
        <f t="shared" si="3"/>
        <v>666625</v>
      </c>
      <c r="W48" s="2215">
        <f t="shared" si="3"/>
        <v>666625</v>
      </c>
      <c r="X48" s="2215">
        <f t="shared" si="3"/>
        <v>666625</v>
      </c>
      <c r="Y48" s="2215">
        <f t="shared" si="3"/>
        <v>166656</v>
      </c>
      <c r="Z48" s="2215">
        <f t="shared" si="3"/>
        <v>0</v>
      </c>
      <c r="AA48" s="2228" t="s">
        <v>241</v>
      </c>
    </row>
    <row r="49" spans="1:27" ht="6" customHeight="1">
      <c r="A49" s="2238"/>
      <c r="B49" s="2190"/>
      <c r="C49" s="2191"/>
      <c r="D49" s="2191"/>
      <c r="E49" s="2191"/>
      <c r="F49" s="1409"/>
      <c r="G49" s="1409"/>
      <c r="H49" s="1409"/>
      <c r="I49" s="1409"/>
      <c r="J49" s="2177"/>
      <c r="K49" s="2177"/>
      <c r="L49" s="2196"/>
      <c r="M49" s="2198"/>
      <c r="N49" s="2182"/>
      <c r="O49" s="2177"/>
      <c r="P49" s="2182"/>
      <c r="Q49" s="2182"/>
      <c r="R49" s="2182"/>
      <c r="S49" s="2182"/>
      <c r="T49" s="2182"/>
      <c r="U49" s="2182"/>
      <c r="V49" s="2182"/>
      <c r="W49" s="2182"/>
      <c r="X49" s="2182"/>
      <c r="Y49" s="2182"/>
      <c r="Z49" s="2182"/>
      <c r="AA49" s="2229"/>
    </row>
    <row r="50" spans="1:27" ht="13.5" customHeight="1">
      <c r="A50" s="2238"/>
      <c r="B50" s="2168" t="s">
        <v>112</v>
      </c>
      <c r="C50" s="2169"/>
      <c r="D50" s="2169">
        <v>75704</v>
      </c>
      <c r="E50" s="2169"/>
      <c r="F50" s="1409" t="s">
        <v>181</v>
      </c>
      <c r="G50" s="1409"/>
      <c r="H50" s="1409"/>
      <c r="I50" s="1409"/>
      <c r="J50" s="2177"/>
      <c r="K50" s="2177"/>
      <c r="L50" s="2196"/>
      <c r="M50" s="2198"/>
      <c r="N50" s="2182"/>
      <c r="O50" s="2177"/>
      <c r="P50" s="2182"/>
      <c r="Q50" s="2182"/>
      <c r="R50" s="2182"/>
      <c r="S50" s="2182"/>
      <c r="T50" s="2182"/>
      <c r="U50" s="2182"/>
      <c r="V50" s="2182"/>
      <c r="W50" s="2182"/>
      <c r="X50" s="2182"/>
      <c r="Y50" s="2182"/>
      <c r="Z50" s="2182"/>
      <c r="AA50" s="2229"/>
    </row>
    <row r="51" spans="1:27" ht="8.25" customHeight="1">
      <c r="A51" s="2238"/>
      <c r="B51" s="2170"/>
      <c r="C51" s="2171"/>
      <c r="D51" s="2171"/>
      <c r="E51" s="2171"/>
      <c r="F51" s="1409"/>
      <c r="G51" s="1409"/>
      <c r="H51" s="1409"/>
      <c r="I51" s="1409"/>
      <c r="J51" s="2177"/>
      <c r="K51" s="2177"/>
      <c r="L51" s="2196"/>
      <c r="M51" s="2198"/>
      <c r="N51" s="2182"/>
      <c r="O51" s="2205"/>
      <c r="P51" s="2182"/>
      <c r="Q51" s="2182"/>
      <c r="R51" s="2182"/>
      <c r="S51" s="2182"/>
      <c r="T51" s="2182"/>
      <c r="U51" s="2182"/>
      <c r="V51" s="2182"/>
      <c r="W51" s="2182"/>
      <c r="X51" s="2182"/>
      <c r="Y51" s="2182"/>
      <c r="Z51" s="2182"/>
      <c r="AA51" s="2229"/>
    </row>
    <row r="52" spans="1:27" ht="13.5" customHeight="1">
      <c r="A52" s="2239"/>
      <c r="B52" s="1411" t="s">
        <v>194</v>
      </c>
      <c r="C52" s="1411"/>
      <c r="D52" s="1411"/>
      <c r="E52" s="1411"/>
      <c r="F52" s="1411"/>
      <c r="G52" s="1411"/>
      <c r="H52" s="1411"/>
      <c r="I52" s="1411"/>
      <c r="J52" s="2194"/>
      <c r="K52" s="2177"/>
      <c r="L52" s="2196"/>
      <c r="M52" s="2172">
        <v>75704</v>
      </c>
      <c r="N52" s="2152">
        <f>SUM(P52:Z59)</f>
        <v>5333000</v>
      </c>
      <c r="O52" s="2171" t="s">
        <v>117</v>
      </c>
      <c r="P52" s="2152">
        <v>0</v>
      </c>
      <c r="Q52" s="2152">
        <v>499969</v>
      </c>
      <c r="R52" s="2152">
        <v>666625</v>
      </c>
      <c r="S52" s="2152">
        <v>666625</v>
      </c>
      <c r="T52" s="2152">
        <v>666625</v>
      </c>
      <c r="U52" s="2152">
        <v>666625</v>
      </c>
      <c r="V52" s="2152">
        <v>666625</v>
      </c>
      <c r="W52" s="2152">
        <v>666625</v>
      </c>
      <c r="X52" s="2152">
        <v>666625</v>
      </c>
      <c r="Y52" s="2152">
        <v>166656</v>
      </c>
      <c r="Z52" s="2152">
        <v>0</v>
      </c>
      <c r="AA52" s="2230" t="s">
        <v>241</v>
      </c>
    </row>
    <row r="53" spans="1:27" ht="13.5" customHeight="1">
      <c r="A53" s="2239"/>
      <c r="B53" s="1411"/>
      <c r="C53" s="1411"/>
      <c r="D53" s="1411"/>
      <c r="E53" s="1411"/>
      <c r="F53" s="1411"/>
      <c r="G53" s="1411"/>
      <c r="H53" s="1411"/>
      <c r="I53" s="1411"/>
      <c r="J53" s="2194"/>
      <c r="K53" s="2177"/>
      <c r="L53" s="2196"/>
      <c r="M53" s="2173"/>
      <c r="N53" s="2153"/>
      <c r="O53" s="2177"/>
      <c r="P53" s="2153"/>
      <c r="Q53" s="2153"/>
      <c r="R53" s="2153"/>
      <c r="S53" s="2153"/>
      <c r="T53" s="2153"/>
      <c r="U53" s="2153"/>
      <c r="V53" s="2153"/>
      <c r="W53" s="2153"/>
      <c r="X53" s="2153"/>
      <c r="Y53" s="2153"/>
      <c r="Z53" s="2153"/>
      <c r="AA53" s="2231"/>
    </row>
    <row r="54" spans="1:27" ht="13.5" customHeight="1">
      <c r="A54" s="2239"/>
      <c r="B54" s="1411"/>
      <c r="C54" s="1411"/>
      <c r="D54" s="1411"/>
      <c r="E54" s="1411"/>
      <c r="F54" s="1411"/>
      <c r="G54" s="1411"/>
      <c r="H54" s="1411"/>
      <c r="I54" s="1411"/>
      <c r="J54" s="2194"/>
      <c r="K54" s="2177"/>
      <c r="L54" s="2158">
        <v>0</v>
      </c>
      <c r="M54" s="2173"/>
      <c r="N54" s="2153"/>
      <c r="O54" s="2177"/>
      <c r="P54" s="2153"/>
      <c r="Q54" s="2153"/>
      <c r="R54" s="2153"/>
      <c r="S54" s="2153"/>
      <c r="T54" s="2153"/>
      <c r="U54" s="2153"/>
      <c r="V54" s="2153"/>
      <c r="W54" s="2153"/>
      <c r="X54" s="2153"/>
      <c r="Y54" s="2153"/>
      <c r="Z54" s="2153"/>
      <c r="AA54" s="2231"/>
    </row>
    <row r="55" spans="1:27" ht="11.25" customHeight="1">
      <c r="A55" s="2239"/>
      <c r="B55" s="1411"/>
      <c r="C55" s="1411"/>
      <c r="D55" s="1411"/>
      <c r="E55" s="1411"/>
      <c r="F55" s="1411"/>
      <c r="G55" s="1411"/>
      <c r="H55" s="1411"/>
      <c r="I55" s="1411"/>
      <c r="J55" s="2194"/>
      <c r="K55" s="2177"/>
      <c r="L55" s="2158"/>
      <c r="M55" s="2173"/>
      <c r="N55" s="2153"/>
      <c r="O55" s="2177"/>
      <c r="P55" s="2153"/>
      <c r="Q55" s="2153"/>
      <c r="R55" s="2153"/>
      <c r="S55" s="2153"/>
      <c r="T55" s="2153"/>
      <c r="U55" s="2153"/>
      <c r="V55" s="2153"/>
      <c r="W55" s="2153"/>
      <c r="X55" s="2153"/>
      <c r="Y55" s="2153"/>
      <c r="Z55" s="2153"/>
      <c r="AA55" s="2231"/>
    </row>
    <row r="56" spans="1:27" ht="13.5" customHeight="1">
      <c r="A56" s="2240"/>
      <c r="B56" s="2199" t="s">
        <v>190</v>
      </c>
      <c r="C56" s="2200"/>
      <c r="D56" s="2200"/>
      <c r="E56" s="2200"/>
      <c r="F56" s="2200"/>
      <c r="G56" s="2200"/>
      <c r="H56" s="2200"/>
      <c r="I56" s="2201"/>
      <c r="J56" s="2177"/>
      <c r="K56" s="2177"/>
      <c r="L56" s="2158"/>
      <c r="M56" s="2173"/>
      <c r="N56" s="2153"/>
      <c r="O56" s="2177"/>
      <c r="P56" s="2153"/>
      <c r="Q56" s="2153"/>
      <c r="R56" s="2153"/>
      <c r="S56" s="2153"/>
      <c r="T56" s="2153"/>
      <c r="U56" s="2153"/>
      <c r="V56" s="2153"/>
      <c r="W56" s="2153"/>
      <c r="X56" s="2153"/>
      <c r="Y56" s="2153"/>
      <c r="Z56" s="2153"/>
      <c r="AA56" s="2231"/>
    </row>
    <row r="57" spans="1:27" ht="7.5" customHeight="1">
      <c r="A57" s="2240"/>
      <c r="B57" s="2199"/>
      <c r="C57" s="2200"/>
      <c r="D57" s="2200"/>
      <c r="E57" s="2200"/>
      <c r="F57" s="2200"/>
      <c r="G57" s="2200"/>
      <c r="H57" s="2200"/>
      <c r="I57" s="2201"/>
      <c r="J57" s="2177"/>
      <c r="K57" s="2177"/>
      <c r="L57" s="2158"/>
      <c r="M57" s="2173"/>
      <c r="N57" s="2153"/>
      <c r="O57" s="2177"/>
      <c r="P57" s="2153"/>
      <c r="Q57" s="2153"/>
      <c r="R57" s="2153"/>
      <c r="S57" s="2153"/>
      <c r="T57" s="2153"/>
      <c r="U57" s="2153"/>
      <c r="V57" s="2153"/>
      <c r="W57" s="2153"/>
      <c r="X57" s="2153"/>
      <c r="Y57" s="2153"/>
      <c r="Z57" s="2153"/>
      <c r="AA57" s="2231"/>
    </row>
    <row r="58" spans="1:27" ht="9.75" customHeight="1">
      <c r="A58" s="2240"/>
      <c r="B58" s="2199"/>
      <c r="C58" s="2200"/>
      <c r="D58" s="2200"/>
      <c r="E58" s="2200"/>
      <c r="F58" s="2200"/>
      <c r="G58" s="2200"/>
      <c r="H58" s="2200"/>
      <c r="I58" s="2201"/>
      <c r="J58" s="2177"/>
      <c r="K58" s="2177"/>
      <c r="L58" s="2158"/>
      <c r="M58" s="2173"/>
      <c r="N58" s="2153"/>
      <c r="O58" s="2177"/>
      <c r="P58" s="2153"/>
      <c r="Q58" s="2153"/>
      <c r="R58" s="2153"/>
      <c r="S58" s="2153"/>
      <c r="T58" s="2153"/>
      <c r="U58" s="2153"/>
      <c r="V58" s="2153"/>
      <c r="W58" s="2153"/>
      <c r="X58" s="2153"/>
      <c r="Y58" s="2153"/>
      <c r="Z58" s="2153"/>
      <c r="AA58" s="2231"/>
    </row>
    <row r="59" spans="1:27" ht="9" customHeight="1" thickBot="1">
      <c r="A59" s="2241"/>
      <c r="B59" s="2246"/>
      <c r="C59" s="2247"/>
      <c r="D59" s="2247"/>
      <c r="E59" s="2247"/>
      <c r="F59" s="2247"/>
      <c r="G59" s="2247"/>
      <c r="H59" s="2247"/>
      <c r="I59" s="2248"/>
      <c r="J59" s="2236"/>
      <c r="K59" s="2236"/>
      <c r="L59" s="2249"/>
      <c r="M59" s="2235"/>
      <c r="N59" s="2214"/>
      <c r="O59" s="2236"/>
      <c r="P59" s="2214"/>
      <c r="Q59" s="2214"/>
      <c r="R59" s="2214"/>
      <c r="S59" s="2214"/>
      <c r="T59" s="2214"/>
      <c r="U59" s="2214"/>
      <c r="V59" s="2214"/>
      <c r="W59" s="2214"/>
      <c r="X59" s="2214"/>
      <c r="Y59" s="2214"/>
      <c r="Z59" s="2214"/>
      <c r="AA59" s="2232"/>
    </row>
    <row r="60" spans="1:27" ht="13.5" customHeight="1" thickTop="1" thickBot="1">
      <c r="A60" s="23"/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683"/>
      <c r="M60" s="684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3.5" customHeight="1">
      <c r="A61" s="2183">
        <v>4</v>
      </c>
      <c r="B61" s="2188" t="s">
        <v>106</v>
      </c>
      <c r="C61" s="2189"/>
      <c r="D61" s="2189">
        <v>757</v>
      </c>
      <c r="E61" s="2189"/>
      <c r="F61" s="2192" t="s">
        <v>180</v>
      </c>
      <c r="G61" s="2192"/>
      <c r="H61" s="2192"/>
      <c r="I61" s="2192"/>
      <c r="J61" s="2193">
        <v>2012</v>
      </c>
      <c r="K61" s="2193">
        <v>2022</v>
      </c>
      <c r="L61" s="2195">
        <v>11000000</v>
      </c>
      <c r="M61" s="2197" t="s">
        <v>125</v>
      </c>
      <c r="N61" s="2181">
        <f>SUM(N65:N72)</f>
        <v>10858000</v>
      </c>
      <c r="O61" s="2193" t="s">
        <v>117</v>
      </c>
      <c r="P61" s="2181">
        <f t="shared" ref="P61:S61" si="4">SUM(P65:P72)</f>
        <v>0</v>
      </c>
      <c r="Q61" s="2181">
        <f t="shared" si="4"/>
        <v>1073000</v>
      </c>
      <c r="R61" s="2181">
        <f t="shared" si="4"/>
        <v>1140000</v>
      </c>
      <c r="S61" s="2181">
        <f t="shared" si="4"/>
        <v>1140000</v>
      </c>
      <c r="T61" s="2181">
        <f>SUM(T65:T72)</f>
        <v>1140000</v>
      </c>
      <c r="U61" s="2181">
        <f t="shared" ref="U61:Z61" si="5">SUM(U65:U72)</f>
        <v>1140000</v>
      </c>
      <c r="V61" s="2181">
        <f t="shared" si="5"/>
        <v>1140000</v>
      </c>
      <c r="W61" s="2181">
        <f t="shared" si="5"/>
        <v>1140000</v>
      </c>
      <c r="X61" s="2181">
        <f t="shared" si="5"/>
        <v>1140000</v>
      </c>
      <c r="Y61" s="2181">
        <f t="shared" si="5"/>
        <v>1140000</v>
      </c>
      <c r="Z61" s="2181">
        <f t="shared" si="5"/>
        <v>665000</v>
      </c>
      <c r="AA61" s="2233" t="s">
        <v>241</v>
      </c>
    </row>
    <row r="62" spans="1:27" ht="13.5" customHeight="1">
      <c r="A62" s="2184"/>
      <c r="B62" s="2190"/>
      <c r="C62" s="2191"/>
      <c r="D62" s="2191"/>
      <c r="E62" s="2191"/>
      <c r="F62" s="1409"/>
      <c r="G62" s="1409"/>
      <c r="H62" s="1409"/>
      <c r="I62" s="1409"/>
      <c r="J62" s="2177"/>
      <c r="K62" s="2177"/>
      <c r="L62" s="2196"/>
      <c r="M62" s="2198"/>
      <c r="N62" s="2182"/>
      <c r="O62" s="2177"/>
      <c r="P62" s="2182"/>
      <c r="Q62" s="2182"/>
      <c r="R62" s="2182"/>
      <c r="S62" s="2182"/>
      <c r="T62" s="2182"/>
      <c r="U62" s="2182"/>
      <c r="V62" s="2182"/>
      <c r="W62" s="2182"/>
      <c r="X62" s="2182"/>
      <c r="Y62" s="2182"/>
      <c r="Z62" s="2182"/>
      <c r="AA62" s="2234"/>
    </row>
    <row r="63" spans="1:27" ht="13.5" customHeight="1">
      <c r="A63" s="2184"/>
      <c r="B63" s="2168" t="s">
        <v>112</v>
      </c>
      <c r="C63" s="2169"/>
      <c r="D63" s="2169">
        <v>75704</v>
      </c>
      <c r="E63" s="2169"/>
      <c r="F63" s="1409" t="s">
        <v>181</v>
      </c>
      <c r="G63" s="1409"/>
      <c r="H63" s="1409"/>
      <c r="I63" s="1409"/>
      <c r="J63" s="2177"/>
      <c r="K63" s="2177"/>
      <c r="L63" s="2196"/>
      <c r="M63" s="2198"/>
      <c r="N63" s="2182"/>
      <c r="O63" s="2177"/>
      <c r="P63" s="2182"/>
      <c r="Q63" s="2182"/>
      <c r="R63" s="2182"/>
      <c r="S63" s="2182"/>
      <c r="T63" s="2182"/>
      <c r="U63" s="2182"/>
      <c r="V63" s="2182"/>
      <c r="W63" s="2182"/>
      <c r="X63" s="2182"/>
      <c r="Y63" s="2182"/>
      <c r="Z63" s="2182"/>
      <c r="AA63" s="2234"/>
    </row>
    <row r="64" spans="1:27" ht="8.25" customHeight="1">
      <c r="A64" s="2184"/>
      <c r="B64" s="2170"/>
      <c r="C64" s="2171"/>
      <c r="D64" s="2171"/>
      <c r="E64" s="2171"/>
      <c r="F64" s="1409"/>
      <c r="G64" s="1409"/>
      <c r="H64" s="1409"/>
      <c r="I64" s="1409"/>
      <c r="J64" s="2177"/>
      <c r="K64" s="2177"/>
      <c r="L64" s="2196"/>
      <c r="M64" s="2198"/>
      <c r="N64" s="2182"/>
      <c r="O64" s="2205"/>
      <c r="P64" s="2182"/>
      <c r="Q64" s="2182"/>
      <c r="R64" s="2182"/>
      <c r="S64" s="2182"/>
      <c r="T64" s="2182"/>
      <c r="U64" s="2182"/>
      <c r="V64" s="2182"/>
      <c r="W64" s="2182"/>
      <c r="X64" s="2182"/>
      <c r="Y64" s="2182"/>
      <c r="Z64" s="2182"/>
      <c r="AA64" s="2234"/>
    </row>
    <row r="65" spans="1:27" ht="13.5" customHeight="1">
      <c r="A65" s="2185"/>
      <c r="B65" s="2169" t="s">
        <v>465</v>
      </c>
      <c r="C65" s="2169"/>
      <c r="D65" s="2169"/>
      <c r="E65" s="2169"/>
      <c r="F65" s="2169"/>
      <c r="G65" s="2169"/>
      <c r="H65" s="2169"/>
      <c r="I65" s="2169"/>
      <c r="J65" s="2194"/>
      <c r="K65" s="2177"/>
      <c r="L65" s="2196"/>
      <c r="M65" s="2172">
        <v>75704</v>
      </c>
      <c r="N65" s="2152">
        <f>SUM(P65:Z72)</f>
        <v>10858000</v>
      </c>
      <c r="O65" s="2171" t="s">
        <v>117</v>
      </c>
      <c r="P65" s="2152">
        <v>0</v>
      </c>
      <c r="Q65" s="2152">
        <v>1073000</v>
      </c>
      <c r="R65" s="2152">
        <v>1140000</v>
      </c>
      <c r="S65" s="2152">
        <v>1140000</v>
      </c>
      <c r="T65" s="2152">
        <v>1140000</v>
      </c>
      <c r="U65" s="2152">
        <v>1140000</v>
      </c>
      <c r="V65" s="2152">
        <v>1140000</v>
      </c>
      <c r="W65" s="2152">
        <v>1140000</v>
      </c>
      <c r="X65" s="2152">
        <v>1140000</v>
      </c>
      <c r="Y65" s="2152">
        <v>1140000</v>
      </c>
      <c r="Z65" s="2152">
        <v>665000</v>
      </c>
      <c r="AA65" s="2155" t="s">
        <v>241</v>
      </c>
    </row>
    <row r="66" spans="1:27" ht="13.5" customHeight="1">
      <c r="A66" s="2185"/>
      <c r="B66" s="2169"/>
      <c r="C66" s="2169"/>
      <c r="D66" s="2169"/>
      <c r="E66" s="2169"/>
      <c r="F66" s="2169"/>
      <c r="G66" s="2169"/>
      <c r="H66" s="2169"/>
      <c r="I66" s="2169"/>
      <c r="J66" s="2194"/>
      <c r="K66" s="2177"/>
      <c r="L66" s="2196"/>
      <c r="M66" s="2173"/>
      <c r="N66" s="2175"/>
      <c r="O66" s="2177"/>
      <c r="P66" s="2153"/>
      <c r="Q66" s="2153"/>
      <c r="R66" s="2153"/>
      <c r="S66" s="2153"/>
      <c r="T66" s="2153"/>
      <c r="U66" s="2153"/>
      <c r="V66" s="2153"/>
      <c r="W66" s="2153"/>
      <c r="X66" s="2153"/>
      <c r="Y66" s="2153"/>
      <c r="Z66" s="2153"/>
      <c r="AA66" s="2156"/>
    </row>
    <row r="67" spans="1:27" ht="13.5" customHeight="1">
      <c r="A67" s="2185"/>
      <c r="B67" s="2169"/>
      <c r="C67" s="2169"/>
      <c r="D67" s="2169"/>
      <c r="E67" s="2169"/>
      <c r="F67" s="2169"/>
      <c r="G67" s="2169"/>
      <c r="H67" s="2169"/>
      <c r="I67" s="2169"/>
      <c r="J67" s="2194"/>
      <c r="K67" s="2177"/>
      <c r="L67" s="2158">
        <v>0</v>
      </c>
      <c r="M67" s="2173"/>
      <c r="N67" s="2175"/>
      <c r="O67" s="2177"/>
      <c r="P67" s="2153"/>
      <c r="Q67" s="2153"/>
      <c r="R67" s="2153"/>
      <c r="S67" s="2153"/>
      <c r="T67" s="2153"/>
      <c r="U67" s="2153"/>
      <c r="V67" s="2153"/>
      <c r="W67" s="2153"/>
      <c r="X67" s="2153"/>
      <c r="Y67" s="2153"/>
      <c r="Z67" s="2153"/>
      <c r="AA67" s="2156"/>
    </row>
    <row r="68" spans="1:27" ht="5.25" customHeight="1">
      <c r="A68" s="2185"/>
      <c r="B68" s="2169"/>
      <c r="C68" s="2169"/>
      <c r="D68" s="2169"/>
      <c r="E68" s="2169"/>
      <c r="F68" s="2169"/>
      <c r="G68" s="2169"/>
      <c r="H68" s="2169"/>
      <c r="I68" s="2169"/>
      <c r="J68" s="2194"/>
      <c r="K68" s="2177"/>
      <c r="L68" s="2158"/>
      <c r="M68" s="2173"/>
      <c r="N68" s="2175"/>
      <c r="O68" s="2177"/>
      <c r="P68" s="2153"/>
      <c r="Q68" s="2153"/>
      <c r="R68" s="2153"/>
      <c r="S68" s="2153"/>
      <c r="T68" s="2153"/>
      <c r="U68" s="2153"/>
      <c r="V68" s="2153"/>
      <c r="W68" s="2153"/>
      <c r="X68" s="2153"/>
      <c r="Y68" s="2153"/>
      <c r="Z68" s="2153"/>
      <c r="AA68" s="2156"/>
    </row>
    <row r="69" spans="1:27" ht="13.5" customHeight="1">
      <c r="A69" s="2186"/>
      <c r="B69" s="2199" t="s">
        <v>382</v>
      </c>
      <c r="C69" s="2200"/>
      <c r="D69" s="2200"/>
      <c r="E69" s="2200"/>
      <c r="F69" s="2200"/>
      <c r="G69" s="2200"/>
      <c r="H69" s="2200"/>
      <c r="I69" s="2201"/>
      <c r="J69" s="2177"/>
      <c r="K69" s="2177"/>
      <c r="L69" s="2158"/>
      <c r="M69" s="2173"/>
      <c r="N69" s="2175"/>
      <c r="O69" s="2177"/>
      <c r="P69" s="2153"/>
      <c r="Q69" s="2153"/>
      <c r="R69" s="2153"/>
      <c r="S69" s="2153"/>
      <c r="T69" s="2153"/>
      <c r="U69" s="2153"/>
      <c r="V69" s="2153"/>
      <c r="W69" s="2153"/>
      <c r="X69" s="2153"/>
      <c r="Y69" s="2153"/>
      <c r="Z69" s="2153"/>
      <c r="AA69" s="2156"/>
    </row>
    <row r="70" spans="1:27" ht="12" customHeight="1">
      <c r="A70" s="2186"/>
      <c r="B70" s="2199"/>
      <c r="C70" s="2200"/>
      <c r="D70" s="2200"/>
      <c r="E70" s="2200"/>
      <c r="F70" s="2200"/>
      <c r="G70" s="2200"/>
      <c r="H70" s="2200"/>
      <c r="I70" s="2201"/>
      <c r="J70" s="2177"/>
      <c r="K70" s="2177"/>
      <c r="L70" s="2158"/>
      <c r="M70" s="2173"/>
      <c r="N70" s="2175"/>
      <c r="O70" s="2177"/>
      <c r="P70" s="2153"/>
      <c r="Q70" s="2153"/>
      <c r="R70" s="2153"/>
      <c r="S70" s="2153"/>
      <c r="T70" s="2153"/>
      <c r="U70" s="2153"/>
      <c r="V70" s="2153"/>
      <c r="W70" s="2153"/>
      <c r="X70" s="2153"/>
      <c r="Y70" s="2153"/>
      <c r="Z70" s="2153"/>
      <c r="AA70" s="2156"/>
    </row>
    <row r="71" spans="1:27" ht="12" customHeight="1">
      <c r="A71" s="2186"/>
      <c r="B71" s="2199"/>
      <c r="C71" s="2200"/>
      <c r="D71" s="2200"/>
      <c r="E71" s="2200"/>
      <c r="F71" s="2200"/>
      <c r="G71" s="2200"/>
      <c r="H71" s="2200"/>
      <c r="I71" s="2201"/>
      <c r="J71" s="2177"/>
      <c r="K71" s="2177"/>
      <c r="L71" s="2158"/>
      <c r="M71" s="2173"/>
      <c r="N71" s="2175"/>
      <c r="O71" s="2177"/>
      <c r="P71" s="2153"/>
      <c r="Q71" s="2153"/>
      <c r="R71" s="2153"/>
      <c r="S71" s="2153"/>
      <c r="T71" s="2153"/>
      <c r="U71" s="2153"/>
      <c r="V71" s="2153"/>
      <c r="W71" s="2153"/>
      <c r="X71" s="2153"/>
      <c r="Y71" s="2153"/>
      <c r="Z71" s="2153"/>
      <c r="AA71" s="2156"/>
    </row>
    <row r="72" spans="1:27" ht="5.25" customHeight="1" thickBot="1">
      <c r="A72" s="2187"/>
      <c r="B72" s="2202"/>
      <c r="C72" s="2203"/>
      <c r="D72" s="2203"/>
      <c r="E72" s="2203"/>
      <c r="F72" s="2203"/>
      <c r="G72" s="2203"/>
      <c r="H72" s="2203"/>
      <c r="I72" s="2204"/>
      <c r="J72" s="2178"/>
      <c r="K72" s="2178"/>
      <c r="L72" s="2159"/>
      <c r="M72" s="2174"/>
      <c r="N72" s="2176"/>
      <c r="O72" s="2178"/>
      <c r="P72" s="2154"/>
      <c r="Q72" s="2154"/>
      <c r="R72" s="2154"/>
      <c r="S72" s="2154"/>
      <c r="T72" s="2154"/>
      <c r="U72" s="2154"/>
      <c r="V72" s="2154"/>
      <c r="W72" s="2154"/>
      <c r="X72" s="2154"/>
      <c r="Y72" s="2154"/>
      <c r="Z72" s="2154"/>
      <c r="AA72" s="2157"/>
    </row>
    <row r="73" spans="1:27" ht="14.25" customHeight="1" thickBot="1">
      <c r="A73" s="823"/>
      <c r="B73" s="824"/>
      <c r="C73" s="824"/>
      <c r="D73" s="824"/>
      <c r="E73" s="824"/>
      <c r="F73" s="824"/>
      <c r="G73" s="824"/>
      <c r="H73" s="824"/>
      <c r="I73" s="824"/>
      <c r="J73" s="831"/>
      <c r="K73" s="831"/>
      <c r="L73" s="835"/>
      <c r="M73" s="831"/>
      <c r="N73" s="832"/>
      <c r="O73" s="831"/>
      <c r="P73" s="833"/>
      <c r="Q73" s="833"/>
      <c r="R73" s="833"/>
      <c r="S73" s="833"/>
      <c r="T73" s="833"/>
      <c r="U73" s="833"/>
      <c r="V73" s="833"/>
      <c r="W73" s="833"/>
      <c r="X73" s="833"/>
      <c r="Y73" s="833"/>
      <c r="Z73" s="833"/>
      <c r="AA73" s="834"/>
    </row>
    <row r="74" spans="1:27">
      <c r="A74" s="2183">
        <v>5</v>
      </c>
      <c r="B74" s="2188" t="s">
        <v>106</v>
      </c>
      <c r="C74" s="2189"/>
      <c r="D74" s="2189">
        <v>757</v>
      </c>
      <c r="E74" s="2189"/>
      <c r="F74" s="2192" t="s">
        <v>180</v>
      </c>
      <c r="G74" s="2192"/>
      <c r="H74" s="2192"/>
      <c r="I74" s="2192"/>
      <c r="J74" s="2193">
        <v>2012</v>
      </c>
      <c r="K74" s="2193">
        <v>2023</v>
      </c>
      <c r="L74" s="2195">
        <f>SUM(N74,L80)</f>
        <v>1300000</v>
      </c>
      <c r="M74" s="2197" t="s">
        <v>125</v>
      </c>
      <c r="N74" s="2181">
        <f>SUM(N79:N85)</f>
        <v>1300000</v>
      </c>
      <c r="O74" s="2193"/>
      <c r="P74" s="2181">
        <f>SUM(P78:P85)</f>
        <v>0</v>
      </c>
      <c r="Q74" s="2181">
        <f t="shared" ref="Q74:Z74" si="6">SUM(Q78:Q85)</f>
        <v>30000</v>
      </c>
      <c r="R74" s="2181">
        <f t="shared" si="6"/>
        <v>130000</v>
      </c>
      <c r="S74" s="2181">
        <f t="shared" si="6"/>
        <v>130000</v>
      </c>
      <c r="T74" s="2181">
        <f t="shared" si="6"/>
        <v>130000</v>
      </c>
      <c r="U74" s="2181">
        <f t="shared" si="6"/>
        <v>129000</v>
      </c>
      <c r="V74" s="2181">
        <f t="shared" si="6"/>
        <v>128000</v>
      </c>
      <c r="W74" s="2181">
        <f t="shared" si="6"/>
        <v>127000</v>
      </c>
      <c r="X74" s="2181">
        <f t="shared" si="6"/>
        <v>126000</v>
      </c>
      <c r="Y74" s="2181">
        <f t="shared" si="6"/>
        <v>125000</v>
      </c>
      <c r="Z74" s="2181">
        <f t="shared" si="6"/>
        <v>123000</v>
      </c>
      <c r="AA74" s="2225">
        <f t="shared" ref="AA74" si="7">SUM(AA78:AA85)</f>
        <v>122000</v>
      </c>
    </row>
    <row r="75" spans="1:27" ht="13.5" customHeight="1">
      <c r="A75" s="2184"/>
      <c r="B75" s="2190"/>
      <c r="C75" s="2191"/>
      <c r="D75" s="2191"/>
      <c r="E75" s="2191"/>
      <c r="F75" s="1409"/>
      <c r="G75" s="1409"/>
      <c r="H75" s="1409"/>
      <c r="I75" s="1409"/>
      <c r="J75" s="2177"/>
      <c r="K75" s="2177"/>
      <c r="L75" s="2196"/>
      <c r="M75" s="2198"/>
      <c r="N75" s="2182"/>
      <c r="O75" s="2177"/>
      <c r="P75" s="2182"/>
      <c r="Q75" s="2182"/>
      <c r="R75" s="2182"/>
      <c r="S75" s="2182"/>
      <c r="T75" s="2182"/>
      <c r="U75" s="2182"/>
      <c r="V75" s="2182"/>
      <c r="W75" s="2182"/>
      <c r="X75" s="2182"/>
      <c r="Y75" s="2182"/>
      <c r="Z75" s="2182"/>
      <c r="AA75" s="2226"/>
    </row>
    <row r="76" spans="1:27">
      <c r="A76" s="2184"/>
      <c r="B76" s="2168" t="s">
        <v>112</v>
      </c>
      <c r="C76" s="2169"/>
      <c r="D76" s="2169">
        <v>75704</v>
      </c>
      <c r="E76" s="2169"/>
      <c r="F76" s="1409" t="s">
        <v>181</v>
      </c>
      <c r="G76" s="1409"/>
      <c r="H76" s="1409"/>
      <c r="I76" s="1409"/>
      <c r="J76" s="2177"/>
      <c r="K76" s="2177"/>
      <c r="L76" s="2196"/>
      <c r="M76" s="2198"/>
      <c r="N76" s="2182"/>
      <c r="O76" s="2177"/>
      <c r="P76" s="2182"/>
      <c r="Q76" s="2182"/>
      <c r="R76" s="2182"/>
      <c r="S76" s="2182"/>
      <c r="T76" s="2182"/>
      <c r="U76" s="2182"/>
      <c r="V76" s="2182"/>
      <c r="W76" s="2182"/>
      <c r="X76" s="2182"/>
      <c r="Y76" s="2182"/>
      <c r="Z76" s="2182"/>
      <c r="AA76" s="2226"/>
    </row>
    <row r="77" spans="1:27" ht="11.25" customHeight="1">
      <c r="A77" s="2184"/>
      <c r="B77" s="2170"/>
      <c r="C77" s="2171"/>
      <c r="D77" s="2171"/>
      <c r="E77" s="2171"/>
      <c r="F77" s="1409"/>
      <c r="G77" s="1409"/>
      <c r="H77" s="1409"/>
      <c r="I77" s="1409"/>
      <c r="J77" s="2177"/>
      <c r="K77" s="2177"/>
      <c r="L77" s="2196"/>
      <c r="M77" s="2198"/>
      <c r="N77" s="2182"/>
      <c r="O77" s="2205"/>
      <c r="P77" s="2182"/>
      <c r="Q77" s="2182"/>
      <c r="R77" s="2182"/>
      <c r="S77" s="2182"/>
      <c r="T77" s="2182"/>
      <c r="U77" s="2182"/>
      <c r="V77" s="2182"/>
      <c r="W77" s="2182"/>
      <c r="X77" s="2182"/>
      <c r="Y77" s="2182"/>
      <c r="Z77" s="2182"/>
      <c r="AA77" s="2226"/>
    </row>
    <row r="78" spans="1:27" ht="9.75" customHeight="1">
      <c r="A78" s="2185"/>
      <c r="B78" s="1411" t="s">
        <v>408</v>
      </c>
      <c r="C78" s="1411"/>
      <c r="D78" s="1411"/>
      <c r="E78" s="1411"/>
      <c r="F78" s="1411"/>
      <c r="G78" s="1411"/>
      <c r="H78" s="1411"/>
      <c r="I78" s="1411"/>
      <c r="J78" s="2194"/>
      <c r="K78" s="2177"/>
      <c r="L78" s="2196"/>
      <c r="M78" s="2172">
        <v>75704</v>
      </c>
      <c r="N78" s="681"/>
      <c r="O78" s="2171"/>
      <c r="P78" s="2152">
        <v>0</v>
      </c>
      <c r="Q78" s="2152">
        <v>0</v>
      </c>
      <c r="R78" s="2152">
        <v>100000</v>
      </c>
      <c r="S78" s="2152">
        <v>100000</v>
      </c>
      <c r="T78" s="2152">
        <v>100000</v>
      </c>
      <c r="U78" s="2152">
        <v>100000</v>
      </c>
      <c r="V78" s="2152">
        <v>100000</v>
      </c>
      <c r="W78" s="2152">
        <v>100000</v>
      </c>
      <c r="X78" s="2152">
        <v>100000</v>
      </c>
      <c r="Y78" s="2152">
        <v>100000</v>
      </c>
      <c r="Z78" s="2152">
        <v>100000</v>
      </c>
      <c r="AA78" s="2160">
        <v>100000</v>
      </c>
    </row>
    <row r="79" spans="1:27" ht="9.75" customHeight="1">
      <c r="A79" s="2185"/>
      <c r="B79" s="1411"/>
      <c r="C79" s="1411"/>
      <c r="D79" s="1411"/>
      <c r="E79" s="1411"/>
      <c r="F79" s="1411"/>
      <c r="G79" s="1411"/>
      <c r="H79" s="1411"/>
      <c r="I79" s="1411"/>
      <c r="J79" s="2194"/>
      <c r="K79" s="2177"/>
      <c r="L79" s="2196"/>
      <c r="M79" s="2173"/>
      <c r="N79" s="2153">
        <f>SUM(P78:AA82)</f>
        <v>1000000</v>
      </c>
      <c r="O79" s="2177"/>
      <c r="P79" s="2153"/>
      <c r="Q79" s="2153"/>
      <c r="R79" s="2153"/>
      <c r="S79" s="2153"/>
      <c r="T79" s="2153"/>
      <c r="U79" s="2153"/>
      <c r="V79" s="2153"/>
      <c r="W79" s="2153"/>
      <c r="X79" s="2153"/>
      <c r="Y79" s="2153"/>
      <c r="Z79" s="2153"/>
      <c r="AA79" s="2161"/>
    </row>
    <row r="80" spans="1:27" ht="9.75" customHeight="1">
      <c r="A80" s="2185"/>
      <c r="B80" s="1411"/>
      <c r="C80" s="1411"/>
      <c r="D80" s="1411"/>
      <c r="E80" s="1411"/>
      <c r="F80" s="1411"/>
      <c r="G80" s="1411"/>
      <c r="H80" s="1411"/>
      <c r="I80" s="1411"/>
      <c r="J80" s="2194"/>
      <c r="K80" s="2177"/>
      <c r="L80" s="2158">
        <v>0</v>
      </c>
      <c r="M80" s="2173"/>
      <c r="N80" s="2153"/>
      <c r="O80" s="2177"/>
      <c r="P80" s="2153"/>
      <c r="Q80" s="2153"/>
      <c r="R80" s="2153"/>
      <c r="S80" s="2153"/>
      <c r="T80" s="2153"/>
      <c r="U80" s="2153"/>
      <c r="V80" s="2153"/>
      <c r="W80" s="2153"/>
      <c r="X80" s="2153"/>
      <c r="Y80" s="2153"/>
      <c r="Z80" s="2153"/>
      <c r="AA80" s="2161"/>
    </row>
    <row r="81" spans="1:28" ht="29.25" customHeight="1">
      <c r="A81" s="2185"/>
      <c r="B81" s="1411"/>
      <c r="C81" s="1411"/>
      <c r="D81" s="1411"/>
      <c r="E81" s="1411"/>
      <c r="F81" s="1411"/>
      <c r="G81" s="1411"/>
      <c r="H81" s="1411"/>
      <c r="I81" s="1411"/>
      <c r="J81" s="2194"/>
      <c r="K81" s="2177"/>
      <c r="L81" s="2158"/>
      <c r="M81" s="2173"/>
      <c r="N81" s="2153"/>
      <c r="O81" s="2177"/>
      <c r="P81" s="2153"/>
      <c r="Q81" s="2153"/>
      <c r="R81" s="2153"/>
      <c r="S81" s="2153"/>
      <c r="T81" s="2153"/>
      <c r="U81" s="2153"/>
      <c r="V81" s="2153"/>
      <c r="W81" s="2153"/>
      <c r="X81" s="2153"/>
      <c r="Y81" s="2153"/>
      <c r="Z81" s="2153"/>
      <c r="AA81" s="2161"/>
    </row>
    <row r="82" spans="1:28" ht="9.75" customHeight="1">
      <c r="A82" s="2186"/>
      <c r="B82" s="2199" t="s">
        <v>382</v>
      </c>
      <c r="C82" s="2200"/>
      <c r="D82" s="2200"/>
      <c r="E82" s="2200"/>
      <c r="F82" s="2200"/>
      <c r="G82" s="2200"/>
      <c r="H82" s="2200"/>
      <c r="I82" s="2201"/>
      <c r="J82" s="2177"/>
      <c r="K82" s="2177"/>
      <c r="L82" s="2158"/>
      <c r="M82" s="2173"/>
      <c r="N82" s="2166"/>
      <c r="O82" s="2177"/>
      <c r="P82" s="2165"/>
      <c r="Q82" s="2165"/>
      <c r="R82" s="2165"/>
      <c r="S82" s="2165"/>
      <c r="T82" s="2165"/>
      <c r="U82" s="2165"/>
      <c r="V82" s="2165"/>
      <c r="W82" s="2165"/>
      <c r="X82" s="2165"/>
      <c r="Y82" s="2165"/>
      <c r="Z82" s="2165"/>
      <c r="AA82" s="2162"/>
    </row>
    <row r="83" spans="1:28" ht="9.75" customHeight="1">
      <c r="A83" s="2186"/>
      <c r="B83" s="2199"/>
      <c r="C83" s="2200"/>
      <c r="D83" s="2200"/>
      <c r="E83" s="2200"/>
      <c r="F83" s="2200"/>
      <c r="G83" s="2200"/>
      <c r="H83" s="2200"/>
      <c r="I83" s="2201"/>
      <c r="J83" s="2177"/>
      <c r="K83" s="2177"/>
      <c r="L83" s="2158"/>
      <c r="M83" s="2173"/>
      <c r="N83" s="682"/>
      <c r="O83" s="2177"/>
      <c r="P83" s="2167">
        <v>0</v>
      </c>
      <c r="Q83" s="2153">
        <v>30000</v>
      </c>
      <c r="R83" s="2167">
        <v>30000</v>
      </c>
      <c r="S83" s="2153">
        <v>30000</v>
      </c>
      <c r="T83" s="2153">
        <v>30000</v>
      </c>
      <c r="U83" s="2153">
        <v>29000</v>
      </c>
      <c r="V83" s="2167">
        <v>28000</v>
      </c>
      <c r="W83" s="2167">
        <v>27000</v>
      </c>
      <c r="X83" s="2167">
        <v>26000</v>
      </c>
      <c r="Y83" s="2167">
        <v>25000</v>
      </c>
      <c r="Z83" s="2167">
        <v>23000</v>
      </c>
      <c r="AA83" s="2163">
        <v>22000</v>
      </c>
    </row>
    <row r="84" spans="1:28" ht="9.75" customHeight="1">
      <c r="A84" s="2186"/>
      <c r="B84" s="2199"/>
      <c r="C84" s="2200"/>
      <c r="D84" s="2200"/>
      <c r="E84" s="2200"/>
      <c r="F84" s="2200"/>
      <c r="G84" s="2200"/>
      <c r="H84" s="2200"/>
      <c r="I84" s="2201"/>
      <c r="J84" s="2177"/>
      <c r="K84" s="2177"/>
      <c r="L84" s="2158"/>
      <c r="M84" s="2173"/>
      <c r="N84" s="2153">
        <f>SUM(P83:AA85)</f>
        <v>300000</v>
      </c>
      <c r="O84" s="2177"/>
      <c r="P84" s="2153"/>
      <c r="Q84" s="2153"/>
      <c r="R84" s="2153"/>
      <c r="S84" s="2153"/>
      <c r="T84" s="2153"/>
      <c r="U84" s="2153"/>
      <c r="V84" s="2153"/>
      <c r="W84" s="2153"/>
      <c r="X84" s="2153"/>
      <c r="Y84" s="2153"/>
      <c r="Z84" s="2153"/>
      <c r="AA84" s="2161"/>
    </row>
    <row r="85" spans="1:28" ht="10.5" customHeight="1" thickBot="1">
      <c r="A85" s="2187"/>
      <c r="B85" s="2202"/>
      <c r="C85" s="2203"/>
      <c r="D85" s="2203"/>
      <c r="E85" s="2203"/>
      <c r="F85" s="2203"/>
      <c r="G85" s="2203"/>
      <c r="H85" s="2203"/>
      <c r="I85" s="2204"/>
      <c r="J85" s="2178"/>
      <c r="K85" s="2178"/>
      <c r="L85" s="2159"/>
      <c r="M85" s="2174"/>
      <c r="N85" s="2154"/>
      <c r="O85" s="2178"/>
      <c r="P85" s="2154"/>
      <c r="Q85" s="2154"/>
      <c r="R85" s="2154"/>
      <c r="S85" s="2154"/>
      <c r="T85" s="2154"/>
      <c r="U85" s="2154"/>
      <c r="V85" s="2154"/>
      <c r="W85" s="2154"/>
      <c r="X85" s="2154"/>
      <c r="Y85" s="2154"/>
      <c r="Z85" s="2154"/>
      <c r="AA85" s="2164"/>
    </row>
    <row r="86" spans="1:28" ht="17.25" customHeight="1" thickBot="1">
      <c r="A86" s="23"/>
      <c r="B86" s="28"/>
      <c r="C86" s="28"/>
      <c r="D86" s="28"/>
      <c r="E86" s="28"/>
      <c r="F86" s="28"/>
      <c r="G86" s="28"/>
      <c r="H86" s="28"/>
      <c r="I86" s="28"/>
      <c r="J86" s="29"/>
      <c r="K86" s="29"/>
      <c r="L86" s="683"/>
      <c r="M86" s="684"/>
      <c r="N86" s="3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8">
      <c r="A87" s="2216" t="s">
        <v>195</v>
      </c>
      <c r="B87" s="2217"/>
      <c r="C87" s="2217"/>
      <c r="D87" s="2217"/>
      <c r="E87" s="2217"/>
      <c r="F87" s="2217"/>
      <c r="G87" s="2217"/>
      <c r="H87" s="2217"/>
      <c r="I87" s="2217"/>
      <c r="J87" s="2217"/>
      <c r="K87" s="2218"/>
      <c r="L87" s="2209">
        <f>SUM(L74,L61,L48,L35,L21)</f>
        <v>34889677</v>
      </c>
      <c r="M87" s="2197" t="s">
        <v>125</v>
      </c>
      <c r="N87" s="2181">
        <f>SUM(N91)</f>
        <v>31510731.079999991</v>
      </c>
      <c r="O87" s="2193" t="s">
        <v>117</v>
      </c>
      <c r="P87" s="2181">
        <f>SUM(P91)</f>
        <v>0</v>
      </c>
      <c r="Q87" s="2181">
        <f t="shared" ref="Q87:AA87" si="8">SUM(Q91)</f>
        <v>3246163.76</v>
      </c>
      <c r="R87" s="2181">
        <f t="shared" si="8"/>
        <v>3579819.76</v>
      </c>
      <c r="S87" s="2181">
        <f t="shared" si="8"/>
        <v>3579819.76</v>
      </c>
      <c r="T87" s="2181">
        <f t="shared" si="8"/>
        <v>3579819.76</v>
      </c>
      <c r="U87" s="2181">
        <f t="shared" si="8"/>
        <v>3578819.76</v>
      </c>
      <c r="V87" s="2181">
        <f t="shared" si="8"/>
        <v>3577819.76</v>
      </c>
      <c r="W87" s="2181">
        <f t="shared" si="8"/>
        <v>3576819.76</v>
      </c>
      <c r="X87" s="2181">
        <f t="shared" si="8"/>
        <v>3420876.76</v>
      </c>
      <c r="Y87" s="2181">
        <f t="shared" si="8"/>
        <v>2460772</v>
      </c>
      <c r="Z87" s="2181">
        <f t="shared" si="8"/>
        <v>788000</v>
      </c>
      <c r="AA87" s="2179">
        <f t="shared" si="8"/>
        <v>122000</v>
      </c>
    </row>
    <row r="88" spans="1:28">
      <c r="A88" s="2219"/>
      <c r="B88" s="2220"/>
      <c r="C88" s="2220"/>
      <c r="D88" s="2220"/>
      <c r="E88" s="2220"/>
      <c r="F88" s="2220"/>
      <c r="G88" s="2220"/>
      <c r="H88" s="2220"/>
      <c r="I88" s="2220"/>
      <c r="J88" s="2220"/>
      <c r="K88" s="2221"/>
      <c r="L88" s="2210"/>
      <c r="M88" s="2198"/>
      <c r="N88" s="2182"/>
      <c r="O88" s="2177"/>
      <c r="P88" s="2182"/>
      <c r="Q88" s="2182"/>
      <c r="R88" s="2182"/>
      <c r="S88" s="2182"/>
      <c r="T88" s="2182"/>
      <c r="U88" s="2182"/>
      <c r="V88" s="2182"/>
      <c r="W88" s="2182"/>
      <c r="X88" s="2182"/>
      <c r="Y88" s="2182"/>
      <c r="Z88" s="2182"/>
      <c r="AA88" s="2180"/>
    </row>
    <row r="89" spans="1:28">
      <c r="A89" s="2219"/>
      <c r="B89" s="2220"/>
      <c r="C89" s="2220"/>
      <c r="D89" s="2220"/>
      <c r="E89" s="2220"/>
      <c r="F89" s="2220"/>
      <c r="G89" s="2220"/>
      <c r="H89" s="2220"/>
      <c r="I89" s="2220"/>
      <c r="J89" s="2220"/>
      <c r="K89" s="2221"/>
      <c r="L89" s="2210"/>
      <c r="M89" s="2198"/>
      <c r="N89" s="2182"/>
      <c r="O89" s="2177"/>
      <c r="P89" s="2182"/>
      <c r="Q89" s="2182"/>
      <c r="R89" s="2182"/>
      <c r="S89" s="2182"/>
      <c r="T89" s="2182"/>
      <c r="U89" s="2182"/>
      <c r="V89" s="2182"/>
      <c r="W89" s="2182"/>
      <c r="X89" s="2182"/>
      <c r="Y89" s="2182"/>
      <c r="Z89" s="2182"/>
      <c r="AA89" s="2180"/>
    </row>
    <row r="90" spans="1:28">
      <c r="A90" s="2219"/>
      <c r="B90" s="2220"/>
      <c r="C90" s="2220"/>
      <c r="D90" s="2220"/>
      <c r="E90" s="2220"/>
      <c r="F90" s="2220"/>
      <c r="G90" s="2220"/>
      <c r="H90" s="2220"/>
      <c r="I90" s="2220"/>
      <c r="J90" s="2220"/>
      <c r="K90" s="2221"/>
      <c r="L90" s="2210"/>
      <c r="M90" s="2198"/>
      <c r="N90" s="2182"/>
      <c r="O90" s="2205"/>
      <c r="P90" s="2182"/>
      <c r="Q90" s="2182"/>
      <c r="R90" s="2182"/>
      <c r="S90" s="2182"/>
      <c r="T90" s="2182"/>
      <c r="U90" s="2182"/>
      <c r="V90" s="2182"/>
      <c r="W90" s="2182"/>
      <c r="X90" s="2182"/>
      <c r="Y90" s="2182"/>
      <c r="Z90" s="2182"/>
      <c r="AA90" s="2180"/>
    </row>
    <row r="91" spans="1:28">
      <c r="A91" s="2219"/>
      <c r="B91" s="2220"/>
      <c r="C91" s="2220"/>
      <c r="D91" s="2220"/>
      <c r="E91" s="2220"/>
      <c r="F91" s="2220"/>
      <c r="G91" s="2220"/>
      <c r="H91" s="2220"/>
      <c r="I91" s="2220"/>
      <c r="J91" s="2220"/>
      <c r="K91" s="2221"/>
      <c r="L91" s="2210"/>
      <c r="M91" s="2172">
        <v>75704</v>
      </c>
      <c r="N91" s="2152">
        <f>SUM(Q91:AA98)</f>
        <v>31510731.079999991</v>
      </c>
      <c r="O91" s="2171" t="s">
        <v>117</v>
      </c>
      <c r="P91" s="2152">
        <v>0</v>
      </c>
      <c r="Q91" s="2152">
        <f>SUM(Q25,Q39,Q52,Q78+Q65+Q83)</f>
        <v>3246163.76</v>
      </c>
      <c r="R91" s="2152">
        <f t="shared" ref="R91:Z91" si="9">SUM(R25,R39,R52,R78+R65+R83)</f>
        <v>3579819.76</v>
      </c>
      <c r="S91" s="2152">
        <f t="shared" si="9"/>
        <v>3579819.76</v>
      </c>
      <c r="T91" s="2152">
        <f t="shared" si="9"/>
        <v>3579819.76</v>
      </c>
      <c r="U91" s="2152">
        <f t="shared" si="9"/>
        <v>3578819.76</v>
      </c>
      <c r="V91" s="2152">
        <f t="shared" si="9"/>
        <v>3577819.76</v>
      </c>
      <c r="W91" s="2152">
        <f t="shared" si="9"/>
        <v>3576819.76</v>
      </c>
      <c r="X91" s="2152">
        <f t="shared" si="9"/>
        <v>3420876.76</v>
      </c>
      <c r="Y91" s="2152">
        <f t="shared" si="9"/>
        <v>2460772</v>
      </c>
      <c r="Z91" s="2152">
        <f t="shared" si="9"/>
        <v>788000</v>
      </c>
      <c r="AA91" s="2206">
        <v>122000</v>
      </c>
      <c r="AB91" s="847"/>
    </row>
    <row r="92" spans="1:28" ht="10.5" thickBot="1">
      <c r="A92" s="2219"/>
      <c r="B92" s="2220"/>
      <c r="C92" s="2220"/>
      <c r="D92" s="2220"/>
      <c r="E92" s="2220"/>
      <c r="F92" s="2220"/>
      <c r="G92" s="2220"/>
      <c r="H92" s="2220"/>
      <c r="I92" s="2220"/>
      <c r="J92" s="2220"/>
      <c r="K92" s="2221"/>
      <c r="L92" s="2211"/>
      <c r="M92" s="2173"/>
      <c r="N92" s="2153"/>
      <c r="O92" s="2177"/>
      <c r="P92" s="2153"/>
      <c r="Q92" s="2153"/>
      <c r="R92" s="2153"/>
      <c r="S92" s="2153"/>
      <c r="T92" s="2153"/>
      <c r="U92" s="2153"/>
      <c r="V92" s="2153"/>
      <c r="W92" s="2153"/>
      <c r="X92" s="2153"/>
      <c r="Y92" s="2153"/>
      <c r="Z92" s="2153"/>
      <c r="AA92" s="2207"/>
      <c r="AB92" s="847"/>
    </row>
    <row r="93" spans="1:28">
      <c r="A93" s="2219"/>
      <c r="B93" s="2220"/>
      <c r="C93" s="2220"/>
      <c r="D93" s="2220"/>
      <c r="E93" s="2220"/>
      <c r="F93" s="2220"/>
      <c r="G93" s="2220"/>
      <c r="H93" s="2220"/>
      <c r="I93" s="2220"/>
      <c r="J93" s="2220"/>
      <c r="K93" s="2221"/>
      <c r="L93" s="2209">
        <f>SUM(L80,L67,L54,L41,L27)</f>
        <v>0</v>
      </c>
      <c r="M93" s="2173"/>
      <c r="N93" s="2153"/>
      <c r="O93" s="2177"/>
      <c r="P93" s="2153"/>
      <c r="Q93" s="2153"/>
      <c r="R93" s="2153"/>
      <c r="S93" s="2153"/>
      <c r="T93" s="2153"/>
      <c r="U93" s="2153"/>
      <c r="V93" s="2153"/>
      <c r="W93" s="2153"/>
      <c r="X93" s="2153"/>
      <c r="Y93" s="2153"/>
      <c r="Z93" s="2153"/>
      <c r="AA93" s="2207"/>
      <c r="AB93" s="847"/>
    </row>
    <row r="94" spans="1:28">
      <c r="A94" s="2219"/>
      <c r="B94" s="2220"/>
      <c r="C94" s="2220"/>
      <c r="D94" s="2220"/>
      <c r="E94" s="2220"/>
      <c r="F94" s="2220"/>
      <c r="G94" s="2220"/>
      <c r="H94" s="2220"/>
      <c r="I94" s="2220"/>
      <c r="J94" s="2220"/>
      <c r="K94" s="2221"/>
      <c r="L94" s="2210"/>
      <c r="M94" s="2173"/>
      <c r="N94" s="2153"/>
      <c r="O94" s="2177"/>
      <c r="P94" s="2153"/>
      <c r="Q94" s="2153"/>
      <c r="R94" s="2153"/>
      <c r="S94" s="2153"/>
      <c r="T94" s="2153"/>
      <c r="U94" s="2153"/>
      <c r="V94" s="2153"/>
      <c r="W94" s="2153"/>
      <c r="X94" s="2153"/>
      <c r="Y94" s="2153"/>
      <c r="Z94" s="2153"/>
      <c r="AA94" s="2207"/>
      <c r="AB94" s="847"/>
    </row>
    <row r="95" spans="1:28">
      <c r="A95" s="2219"/>
      <c r="B95" s="2220"/>
      <c r="C95" s="2220"/>
      <c r="D95" s="2220"/>
      <c r="E95" s="2220"/>
      <c r="F95" s="2220"/>
      <c r="G95" s="2220"/>
      <c r="H95" s="2220"/>
      <c r="I95" s="2220"/>
      <c r="J95" s="2220"/>
      <c r="K95" s="2221"/>
      <c r="L95" s="2210"/>
      <c r="M95" s="2173"/>
      <c r="N95" s="2153"/>
      <c r="O95" s="2177"/>
      <c r="P95" s="2153"/>
      <c r="Q95" s="2153"/>
      <c r="R95" s="2153"/>
      <c r="S95" s="2153"/>
      <c r="T95" s="2153"/>
      <c r="U95" s="2153"/>
      <c r="V95" s="2153"/>
      <c r="W95" s="2153"/>
      <c r="X95" s="2153"/>
      <c r="Y95" s="2153"/>
      <c r="Z95" s="2153"/>
      <c r="AA95" s="2207"/>
      <c r="AB95" s="847"/>
    </row>
    <row r="96" spans="1:28">
      <c r="A96" s="2219"/>
      <c r="B96" s="2220"/>
      <c r="C96" s="2220"/>
      <c r="D96" s="2220"/>
      <c r="E96" s="2220"/>
      <c r="F96" s="2220"/>
      <c r="G96" s="2220"/>
      <c r="H96" s="2220"/>
      <c r="I96" s="2220"/>
      <c r="J96" s="2220"/>
      <c r="K96" s="2221"/>
      <c r="L96" s="2210"/>
      <c r="M96" s="2173"/>
      <c r="N96" s="2153"/>
      <c r="O96" s="2177"/>
      <c r="P96" s="2153"/>
      <c r="Q96" s="2153"/>
      <c r="R96" s="2153"/>
      <c r="S96" s="2153"/>
      <c r="T96" s="2153"/>
      <c r="U96" s="2153"/>
      <c r="V96" s="2153"/>
      <c r="W96" s="2153"/>
      <c r="X96" s="2153"/>
      <c r="Y96" s="2153"/>
      <c r="Z96" s="2153"/>
      <c r="AA96" s="2207"/>
      <c r="AB96" s="847"/>
    </row>
    <row r="97" spans="1:28">
      <c r="A97" s="2219"/>
      <c r="B97" s="2220"/>
      <c r="C97" s="2220"/>
      <c r="D97" s="2220"/>
      <c r="E97" s="2220"/>
      <c r="F97" s="2220"/>
      <c r="G97" s="2220"/>
      <c r="H97" s="2220"/>
      <c r="I97" s="2220"/>
      <c r="J97" s="2220"/>
      <c r="K97" s="2221"/>
      <c r="L97" s="2210"/>
      <c r="M97" s="2173"/>
      <c r="N97" s="2153"/>
      <c r="O97" s="2177"/>
      <c r="P97" s="2153"/>
      <c r="Q97" s="2153"/>
      <c r="R97" s="2153"/>
      <c r="S97" s="2153"/>
      <c r="T97" s="2153"/>
      <c r="U97" s="2153"/>
      <c r="V97" s="2153"/>
      <c r="W97" s="2153"/>
      <c r="X97" s="2153"/>
      <c r="Y97" s="2153"/>
      <c r="Z97" s="2153"/>
      <c r="AA97" s="2207"/>
      <c r="AB97" s="847"/>
    </row>
    <row r="98" spans="1:28" ht="23.25" customHeight="1" thickBot="1">
      <c r="A98" s="2222"/>
      <c r="B98" s="2223"/>
      <c r="C98" s="2223"/>
      <c r="D98" s="2223"/>
      <c r="E98" s="2223"/>
      <c r="F98" s="2223"/>
      <c r="G98" s="2223"/>
      <c r="H98" s="2223"/>
      <c r="I98" s="2223"/>
      <c r="J98" s="2223"/>
      <c r="K98" s="2224"/>
      <c r="L98" s="2211"/>
      <c r="M98" s="2174"/>
      <c r="N98" s="2154"/>
      <c r="O98" s="2178"/>
      <c r="P98" s="2154"/>
      <c r="Q98" s="2154"/>
      <c r="R98" s="2154"/>
      <c r="S98" s="2154"/>
      <c r="T98" s="2154"/>
      <c r="U98" s="2154"/>
      <c r="V98" s="2154"/>
      <c r="W98" s="2154"/>
      <c r="X98" s="2154"/>
      <c r="Y98" s="2154"/>
      <c r="Z98" s="2154"/>
      <c r="AA98" s="2208"/>
      <c r="AB98" s="847"/>
    </row>
    <row r="99" spans="1:28">
      <c r="A99" s="23"/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683"/>
      <c r="M99" s="684"/>
      <c r="N99" s="3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8"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687"/>
      <c r="AA100" s="687"/>
    </row>
    <row r="101" spans="1:28">
      <c r="M101" s="687"/>
      <c r="N101" s="687"/>
      <c r="O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</row>
    <row r="102" spans="1:28"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687"/>
    </row>
    <row r="103" spans="1:28"/>
    <row r="104" spans="1:28"/>
    <row r="105" spans="1:28"/>
    <row r="106" spans="1:28"/>
    <row r="107" spans="1:28"/>
    <row r="108" spans="1:28"/>
    <row r="109" spans="1:28"/>
    <row r="110" spans="1:28"/>
    <row r="111" spans="1:28"/>
    <row r="112" spans="1:28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</sheetData>
  <sheetProtection password="CC56" sheet="1" objects="1" scenarios="1"/>
  <mergeCells count="293">
    <mergeCell ref="X52:X59"/>
    <mergeCell ref="Y52:Y59"/>
    <mergeCell ref="Z52:Z59"/>
    <mergeCell ref="L54:L59"/>
    <mergeCell ref="B56:I59"/>
    <mergeCell ref="O52:O59"/>
    <mergeCell ref="P52:P59"/>
    <mergeCell ref="Q52:Q59"/>
    <mergeCell ref="R52:R59"/>
    <mergeCell ref="S52:S59"/>
    <mergeCell ref="T52:T59"/>
    <mergeCell ref="U52:U59"/>
    <mergeCell ref="V52:V59"/>
    <mergeCell ref="W52:W59"/>
    <mergeCell ref="A48:A59"/>
    <mergeCell ref="B48:C49"/>
    <mergeCell ref="D48:E49"/>
    <mergeCell ref="F48:I49"/>
    <mergeCell ref="J48:J59"/>
    <mergeCell ref="K48:K59"/>
    <mergeCell ref="L48:L53"/>
    <mergeCell ref="M48:M51"/>
    <mergeCell ref="N48:N51"/>
    <mergeCell ref="B50:C51"/>
    <mergeCell ref="D50:E51"/>
    <mergeCell ref="F50:I51"/>
    <mergeCell ref="B52:I55"/>
    <mergeCell ref="M52:M59"/>
    <mergeCell ref="N52:N59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A21:A32"/>
    <mergeCell ref="B21:C22"/>
    <mergeCell ref="D21:E22"/>
    <mergeCell ref="F21:I22"/>
    <mergeCell ref="J21:J32"/>
    <mergeCell ref="K21:K32"/>
    <mergeCell ref="B25:I28"/>
    <mergeCell ref="B29:I32"/>
    <mergeCell ref="V10:V18"/>
    <mergeCell ref="B9:C10"/>
    <mergeCell ref="D9:E10"/>
    <mergeCell ref="F9:I10"/>
    <mergeCell ref="M10:M18"/>
    <mergeCell ref="N10:N18"/>
    <mergeCell ref="P10:P18"/>
    <mergeCell ref="Q25:Q32"/>
    <mergeCell ref="R25:R32"/>
    <mergeCell ref="S25:S32"/>
    <mergeCell ref="T25:T32"/>
    <mergeCell ref="U25:U32"/>
    <mergeCell ref="V25:V32"/>
    <mergeCell ref="X21:X24"/>
    <mergeCell ref="Y21:Y24"/>
    <mergeCell ref="Z21:Z24"/>
    <mergeCell ref="AA21:AA24"/>
    <mergeCell ref="B23:C24"/>
    <mergeCell ref="D23:E24"/>
    <mergeCell ref="F23:I24"/>
    <mergeCell ref="R21:R24"/>
    <mergeCell ref="S21:S24"/>
    <mergeCell ref="T21:T24"/>
    <mergeCell ref="U21:U24"/>
    <mergeCell ref="V21:V24"/>
    <mergeCell ref="W21:W24"/>
    <mergeCell ref="L21:L26"/>
    <mergeCell ref="M21:M24"/>
    <mergeCell ref="N21:N24"/>
    <mergeCell ref="O21:O24"/>
    <mergeCell ref="P21:P24"/>
    <mergeCell ref="Q21:Q24"/>
    <mergeCell ref="M25:M32"/>
    <mergeCell ref="Y25:Y32"/>
    <mergeCell ref="Z25:Z32"/>
    <mergeCell ref="AA25:AA32"/>
    <mergeCell ref="L27:L32"/>
    <mergeCell ref="Q39:Q46"/>
    <mergeCell ref="R39:R46"/>
    <mergeCell ref="S39:S46"/>
    <mergeCell ref="T39:T46"/>
    <mergeCell ref="N25:N32"/>
    <mergeCell ref="O25:O32"/>
    <mergeCell ref="P25:P32"/>
    <mergeCell ref="W25:W32"/>
    <mergeCell ref="X25:X32"/>
    <mergeCell ref="A35:A46"/>
    <mergeCell ref="B35:C36"/>
    <mergeCell ref="D35:E36"/>
    <mergeCell ref="F35:I36"/>
    <mergeCell ref="J35:J46"/>
    <mergeCell ref="K35:K46"/>
    <mergeCell ref="L35:L40"/>
    <mergeCell ref="M35:M38"/>
    <mergeCell ref="B43:I46"/>
    <mergeCell ref="L41:L46"/>
    <mergeCell ref="AA35:AA38"/>
    <mergeCell ref="B37:C38"/>
    <mergeCell ref="D37:E38"/>
    <mergeCell ref="F37:I38"/>
    <mergeCell ref="B39:I42"/>
    <mergeCell ref="M39:M46"/>
    <mergeCell ref="N39:N46"/>
    <mergeCell ref="O39:O46"/>
    <mergeCell ref="P39:P46"/>
    <mergeCell ref="T35:T38"/>
    <mergeCell ref="U35:U38"/>
    <mergeCell ref="V35:V38"/>
    <mergeCell ref="W35:W38"/>
    <mergeCell ref="X35:X38"/>
    <mergeCell ref="Y35:Y38"/>
    <mergeCell ref="N35:N38"/>
    <mergeCell ref="O35:O38"/>
    <mergeCell ref="P35:P38"/>
    <mergeCell ref="Q35:Q38"/>
    <mergeCell ref="R35:R38"/>
    <mergeCell ref="S35:S38"/>
    <mergeCell ref="X39:X46"/>
    <mergeCell ref="Y39:Y46"/>
    <mergeCell ref="AA39:AA46"/>
    <mergeCell ref="X74:X77"/>
    <mergeCell ref="Y74:Y77"/>
    <mergeCell ref="Z74:Z77"/>
    <mergeCell ref="AA74:AA77"/>
    <mergeCell ref="O48:O51"/>
    <mergeCell ref="P48:P51"/>
    <mergeCell ref="Q48:Q51"/>
    <mergeCell ref="R48:R51"/>
    <mergeCell ref="S48:S51"/>
    <mergeCell ref="T48:T51"/>
    <mergeCell ref="U48:U51"/>
    <mergeCell ref="V48:V51"/>
    <mergeCell ref="W48:W51"/>
    <mergeCell ref="AA48:AA51"/>
    <mergeCell ref="AA52:AA59"/>
    <mergeCell ref="X48:X51"/>
    <mergeCell ref="AA61:AA64"/>
    <mergeCell ref="R65:R72"/>
    <mergeCell ref="S65:S72"/>
    <mergeCell ref="T65:T72"/>
    <mergeCell ref="U65:U72"/>
    <mergeCell ref="V65:V72"/>
    <mergeCell ref="Y48:Y51"/>
    <mergeCell ref="Z48:Z51"/>
    <mergeCell ref="K74:K85"/>
    <mergeCell ref="L74:L79"/>
    <mergeCell ref="M74:M77"/>
    <mergeCell ref="N74:N77"/>
    <mergeCell ref="O74:O77"/>
    <mergeCell ref="P74:P77"/>
    <mergeCell ref="M78:M85"/>
    <mergeCell ref="O78:O85"/>
    <mergeCell ref="U78:U82"/>
    <mergeCell ref="N84:N85"/>
    <mergeCell ref="S78:S82"/>
    <mergeCell ref="T78:T82"/>
    <mergeCell ref="A74:A85"/>
    <mergeCell ref="B74:C75"/>
    <mergeCell ref="D74:E75"/>
    <mergeCell ref="F74:I75"/>
    <mergeCell ref="J74:J85"/>
    <mergeCell ref="B78:I81"/>
    <mergeCell ref="B82:I85"/>
    <mergeCell ref="Q87:Q90"/>
    <mergeCell ref="R87:R90"/>
    <mergeCell ref="B76:C77"/>
    <mergeCell ref="D76:E77"/>
    <mergeCell ref="F76:I77"/>
    <mergeCell ref="Q74:Q77"/>
    <mergeCell ref="R74:R77"/>
    <mergeCell ref="P78:P82"/>
    <mergeCell ref="Q78:Q82"/>
    <mergeCell ref="R78:R82"/>
    <mergeCell ref="A87:K98"/>
    <mergeCell ref="L87:L92"/>
    <mergeCell ref="M87:M90"/>
    <mergeCell ref="N87:N90"/>
    <mergeCell ref="O87:O90"/>
    <mergeCell ref="P87:P90"/>
    <mergeCell ref="L80:L85"/>
    <mergeCell ref="W87:W90"/>
    <mergeCell ref="X87:X90"/>
    <mergeCell ref="Y87:Y90"/>
    <mergeCell ref="M91:M98"/>
    <mergeCell ref="N91:N98"/>
    <mergeCell ref="U1:Z1"/>
    <mergeCell ref="X91:X98"/>
    <mergeCell ref="Y91:Y98"/>
    <mergeCell ref="Z91:Z98"/>
    <mergeCell ref="S87:S90"/>
    <mergeCell ref="T87:T90"/>
    <mergeCell ref="U87:U90"/>
    <mergeCell ref="V87:V90"/>
    <mergeCell ref="Z87:Z90"/>
    <mergeCell ref="Z61:Z64"/>
    <mergeCell ref="U74:U77"/>
    <mergeCell ref="V74:V77"/>
    <mergeCell ref="V78:V82"/>
    <mergeCell ref="W39:W46"/>
    <mergeCell ref="W74:W77"/>
    <mergeCell ref="Z39:Z46"/>
    <mergeCell ref="Z35:Z38"/>
    <mergeCell ref="U39:U46"/>
    <mergeCell ref="V39:V46"/>
    <mergeCell ref="AA91:AA98"/>
    <mergeCell ref="L93:L98"/>
    <mergeCell ref="R91:R98"/>
    <mergeCell ref="S91:S98"/>
    <mergeCell ref="T91:T98"/>
    <mergeCell ref="U91:U98"/>
    <mergeCell ref="V91:V98"/>
    <mergeCell ref="W91:W98"/>
    <mergeCell ref="O91:O98"/>
    <mergeCell ref="P91:P98"/>
    <mergeCell ref="Q91:Q98"/>
    <mergeCell ref="AA87:AA90"/>
    <mergeCell ref="S74:S77"/>
    <mergeCell ref="T74:T77"/>
    <mergeCell ref="A61:A72"/>
    <mergeCell ref="B61:C62"/>
    <mergeCell ref="D61:E62"/>
    <mergeCell ref="F61:I62"/>
    <mergeCell ref="J61:J72"/>
    <mergeCell ref="K61:K72"/>
    <mergeCell ref="L61:L66"/>
    <mergeCell ref="M61:M64"/>
    <mergeCell ref="N61:N64"/>
    <mergeCell ref="B69:I72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B63:C64"/>
    <mergeCell ref="D63:E64"/>
    <mergeCell ref="F63:I64"/>
    <mergeCell ref="B65:I68"/>
    <mergeCell ref="M65:M72"/>
    <mergeCell ref="N65:N72"/>
    <mergeCell ref="O65:O72"/>
    <mergeCell ref="P65:P72"/>
    <mergeCell ref="Q65:Q72"/>
    <mergeCell ref="W65:W72"/>
    <mergeCell ref="X65:X72"/>
    <mergeCell ref="Y65:Y72"/>
    <mergeCell ref="Z65:Z72"/>
    <mergeCell ref="AA65:AA72"/>
    <mergeCell ref="L67:L72"/>
    <mergeCell ref="AA78:AA82"/>
    <mergeCell ref="AA83:AA85"/>
    <mergeCell ref="W78:W82"/>
    <mergeCell ref="X78:X82"/>
    <mergeCell ref="Y78:Y82"/>
    <mergeCell ref="Z78:Z82"/>
    <mergeCell ref="N79:N82"/>
    <mergeCell ref="P83:P85"/>
    <mergeCell ref="Q83:Q85"/>
    <mergeCell ref="R83:R85"/>
    <mergeCell ref="S83:S85"/>
    <mergeCell ref="T83:T85"/>
    <mergeCell ref="U83:U85"/>
    <mergeCell ref="V83:V85"/>
    <mergeCell ref="W83:W85"/>
    <mergeCell ref="X83:X85"/>
    <mergeCell ref="Y83:Y85"/>
    <mergeCell ref="Z83:Z85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307"/>
      <c r="B1" s="2307"/>
      <c r="C1" s="2307"/>
      <c r="D1" s="2307"/>
      <c r="E1" s="2307"/>
      <c r="F1" s="2307"/>
      <c r="G1" s="2307"/>
      <c r="H1" s="2307"/>
      <c r="I1" s="2307"/>
      <c r="J1" s="2307"/>
      <c r="K1" s="2307"/>
      <c r="L1" s="2307"/>
      <c r="M1" s="2307"/>
      <c r="N1" s="2307"/>
      <c r="O1" s="2307"/>
      <c r="P1" s="2307"/>
      <c r="Q1" s="2307"/>
      <c r="R1" s="2307"/>
      <c r="S1" s="2307"/>
      <c r="T1" s="2307"/>
      <c r="U1" s="2307"/>
      <c r="V1" s="2307"/>
      <c r="W1" s="2307"/>
      <c r="X1" s="777"/>
      <c r="Y1" s="777"/>
      <c r="Z1" s="777"/>
      <c r="AA1" s="777"/>
    </row>
    <row r="2" spans="1:27" ht="18.75">
      <c r="A2" s="2308"/>
      <c r="B2" s="2308"/>
      <c r="C2" s="2308"/>
      <c r="D2" s="2308"/>
      <c r="E2" s="2308"/>
      <c r="F2" s="2308"/>
      <c r="G2" s="2308"/>
      <c r="H2" s="2308"/>
      <c r="I2" s="2308"/>
      <c r="J2" s="2308"/>
      <c r="K2" s="2308"/>
      <c r="L2" s="2308"/>
      <c r="M2" s="2308"/>
      <c r="N2" s="2308"/>
      <c r="O2" s="2308"/>
      <c r="P2" s="2308"/>
      <c r="Q2" s="2308"/>
      <c r="R2" s="2308"/>
      <c r="S2" s="2308"/>
      <c r="T2" s="2308"/>
      <c r="U2" s="2308"/>
      <c r="V2" s="2308"/>
      <c r="W2" s="2308"/>
      <c r="X2" s="777"/>
      <c r="Y2" s="778" t="s">
        <v>301</v>
      </c>
      <c r="Z2" s="777"/>
      <c r="AA2" s="779">
        <v>4.8</v>
      </c>
    </row>
    <row r="3" spans="1:27" ht="32.25" customHeight="1">
      <c r="A3" s="2131" t="s">
        <v>196</v>
      </c>
      <c r="B3" s="2309"/>
      <c r="C3" s="2309"/>
      <c r="D3" s="2310" t="s">
        <v>302</v>
      </c>
      <c r="E3" s="2310"/>
      <c r="F3" s="2310"/>
      <c r="G3" s="2310"/>
      <c r="H3" s="2310" t="s">
        <v>303</v>
      </c>
      <c r="I3" s="2310"/>
      <c r="J3" s="2310"/>
      <c r="K3" s="2310"/>
      <c r="L3" s="2310"/>
      <c r="M3" s="2310"/>
      <c r="N3" s="2310"/>
      <c r="O3" s="2310"/>
      <c r="P3" s="2134" t="s">
        <v>304</v>
      </c>
      <c r="Q3" s="2311"/>
      <c r="R3" s="2311"/>
      <c r="S3" s="2312"/>
      <c r="T3" s="2134" t="s">
        <v>305</v>
      </c>
      <c r="U3" s="2311"/>
      <c r="V3" s="2311"/>
      <c r="W3" s="2312"/>
      <c r="X3" s="777"/>
      <c r="Y3" s="778"/>
      <c r="Z3" s="777"/>
      <c r="AA3" s="780">
        <v>2.4</v>
      </c>
    </row>
    <row r="4" spans="1:27">
      <c r="A4" s="2137">
        <v>1</v>
      </c>
      <c r="B4" s="2320"/>
      <c r="C4" s="2320"/>
      <c r="D4" s="2321">
        <v>2013</v>
      </c>
      <c r="E4" s="2321"/>
      <c r="F4" s="2321"/>
      <c r="G4" s="2321"/>
      <c r="H4" s="2321" t="s">
        <v>306</v>
      </c>
      <c r="I4" s="2321"/>
      <c r="J4" s="2321"/>
      <c r="K4" s="2321"/>
      <c r="L4" s="2321"/>
      <c r="M4" s="2321"/>
      <c r="N4" s="2321"/>
      <c r="O4" s="2321"/>
      <c r="P4" s="2322">
        <v>0</v>
      </c>
      <c r="Q4" s="2323"/>
      <c r="R4" s="2323"/>
      <c r="S4" s="2323"/>
      <c r="T4" s="2142">
        <f>IPMT((AA3%+0.35%)/11,1,$D$219-D4+1,$P$220*-1)</f>
        <v>27000</v>
      </c>
      <c r="U4" s="2142"/>
      <c r="V4" s="2142"/>
      <c r="W4" s="2142"/>
      <c r="X4" s="777"/>
      <c r="Y4" s="777"/>
      <c r="Z4" s="777"/>
      <c r="AA4" s="777"/>
    </row>
    <row r="5" spans="1:27">
      <c r="A5" s="2112">
        <v>2</v>
      </c>
      <c r="B5" s="2313"/>
      <c r="C5" s="2313"/>
      <c r="D5" s="2314">
        <f>D4</f>
        <v>2013</v>
      </c>
      <c r="E5" s="2315"/>
      <c r="F5" s="2315"/>
      <c r="G5" s="2316"/>
      <c r="H5" s="2317" t="s">
        <v>307</v>
      </c>
      <c r="I5" s="2317"/>
      <c r="J5" s="2317"/>
      <c r="K5" s="2317"/>
      <c r="L5" s="2317"/>
      <c r="M5" s="2317"/>
      <c r="N5" s="2317"/>
      <c r="O5" s="2317"/>
      <c r="P5" s="2318">
        <v>0</v>
      </c>
      <c r="Q5" s="2319"/>
      <c r="R5" s="2319"/>
      <c r="S5" s="2319"/>
      <c r="T5" s="2116">
        <f>ROUND(IPMT(($AA$3%+0.35%)/11,1,$D$219-$D$4+1,$P$220-(SUM($P$4:P4)))*-1,2)</f>
        <v>27000</v>
      </c>
      <c r="U5" s="2116"/>
      <c r="V5" s="2116"/>
      <c r="W5" s="2116"/>
      <c r="X5" s="777"/>
      <c r="Y5" s="777"/>
      <c r="Z5" s="777"/>
      <c r="AA5" s="777"/>
    </row>
    <row r="6" spans="1:27">
      <c r="A6" s="2112">
        <v>3</v>
      </c>
      <c r="B6" s="2313"/>
      <c r="C6" s="2313"/>
      <c r="D6" s="2314">
        <f t="shared" ref="D6:D15" si="0">D5</f>
        <v>2013</v>
      </c>
      <c r="E6" s="2315"/>
      <c r="F6" s="2315"/>
      <c r="G6" s="2316"/>
      <c r="H6" s="2317" t="s">
        <v>308</v>
      </c>
      <c r="I6" s="2317"/>
      <c r="J6" s="2317"/>
      <c r="K6" s="2317"/>
      <c r="L6" s="2317"/>
      <c r="M6" s="2317"/>
      <c r="N6" s="2317"/>
      <c r="O6" s="2317"/>
      <c r="P6" s="2318">
        <v>0</v>
      </c>
      <c r="Q6" s="2319"/>
      <c r="R6" s="2319"/>
      <c r="S6" s="2319"/>
      <c r="T6" s="2116">
        <f>ROUND(IPMT(($AA$3%+0.35%)/11,1,$D$219-$D$4+1,$P$220-(SUM($P$4:P5)))*-1,2)</f>
        <v>27000</v>
      </c>
      <c r="U6" s="2116"/>
      <c r="V6" s="2116"/>
      <c r="W6" s="2116"/>
      <c r="X6" s="777"/>
      <c r="Y6" s="777"/>
      <c r="Z6" s="777"/>
      <c r="AA6" s="777"/>
    </row>
    <row r="7" spans="1:27">
      <c r="A7" s="2112">
        <v>4</v>
      </c>
      <c r="B7" s="2313"/>
      <c r="C7" s="2313"/>
      <c r="D7" s="2314">
        <f t="shared" si="0"/>
        <v>2013</v>
      </c>
      <c r="E7" s="2315"/>
      <c r="F7" s="2315"/>
      <c r="G7" s="2316"/>
      <c r="H7" s="2317" t="s">
        <v>309</v>
      </c>
      <c r="I7" s="2317"/>
      <c r="J7" s="2317"/>
      <c r="K7" s="2317"/>
      <c r="L7" s="2317"/>
      <c r="M7" s="2317"/>
      <c r="N7" s="2317"/>
      <c r="O7" s="2317"/>
      <c r="P7" s="2318">
        <v>0</v>
      </c>
      <c r="Q7" s="2319"/>
      <c r="R7" s="2319"/>
      <c r="S7" s="2319"/>
      <c r="T7" s="2116">
        <f>ROUND(IPMT(($AA$3%+0.35%)/11,1,$D$219-$D$4+1,$P$220-(SUM($P$4:P6)))*-1,2)</f>
        <v>27000</v>
      </c>
      <c r="U7" s="2116"/>
      <c r="V7" s="2116"/>
      <c r="W7" s="2116"/>
      <c r="X7" s="777"/>
      <c r="Y7" s="777"/>
      <c r="Z7" s="777"/>
      <c r="AA7" s="777"/>
    </row>
    <row r="8" spans="1:27">
      <c r="A8" s="2112">
        <v>5</v>
      </c>
      <c r="B8" s="2313"/>
      <c r="C8" s="2313"/>
      <c r="D8" s="2314">
        <f t="shared" si="0"/>
        <v>2013</v>
      </c>
      <c r="E8" s="2315"/>
      <c r="F8" s="2315"/>
      <c r="G8" s="2316"/>
      <c r="H8" s="2317" t="s">
        <v>310</v>
      </c>
      <c r="I8" s="2317"/>
      <c r="J8" s="2317"/>
      <c r="K8" s="2317"/>
      <c r="L8" s="2317"/>
      <c r="M8" s="2317"/>
      <c r="N8" s="2317"/>
      <c r="O8" s="2317"/>
      <c r="P8" s="2318">
        <v>0</v>
      </c>
      <c r="Q8" s="2319"/>
      <c r="R8" s="2319"/>
      <c r="S8" s="2319"/>
      <c r="T8" s="2116">
        <f>ROUND(IPMT(($AA$3%+0.35%)/11,1,$D$219-$D$4+1,$P$220-(SUM($P$4:P7)))*-1,2)</f>
        <v>27000</v>
      </c>
      <c r="U8" s="2116"/>
      <c r="V8" s="2116"/>
      <c r="W8" s="2116"/>
      <c r="X8" s="777"/>
      <c r="Y8" s="777"/>
      <c r="Z8" s="777"/>
      <c r="AA8" s="777"/>
    </row>
    <row r="9" spans="1:27">
      <c r="A9" s="2112">
        <v>6</v>
      </c>
      <c r="B9" s="2313"/>
      <c r="C9" s="2313"/>
      <c r="D9" s="2314">
        <f t="shared" si="0"/>
        <v>2013</v>
      </c>
      <c r="E9" s="2315"/>
      <c r="F9" s="2315"/>
      <c r="G9" s="2316"/>
      <c r="H9" s="2317" t="s">
        <v>311</v>
      </c>
      <c r="I9" s="2317"/>
      <c r="J9" s="2317"/>
      <c r="K9" s="2317"/>
      <c r="L9" s="2317"/>
      <c r="M9" s="2317"/>
      <c r="N9" s="2317"/>
      <c r="O9" s="2317"/>
      <c r="P9" s="2318">
        <v>0</v>
      </c>
      <c r="Q9" s="2319"/>
      <c r="R9" s="2319"/>
      <c r="S9" s="2319"/>
      <c r="T9" s="2116">
        <f>ROUND(IPMT(($AA$3%+0.35%)/11,1,$D$219-$D$4+1,$P$220-(SUM($P$4:P8)))*-1,2)</f>
        <v>27000</v>
      </c>
      <c r="U9" s="2116"/>
      <c r="V9" s="2116"/>
      <c r="W9" s="2116"/>
      <c r="X9" s="777"/>
      <c r="Y9" s="777"/>
      <c r="Z9" s="777"/>
      <c r="AA9" s="777"/>
    </row>
    <row r="10" spans="1:27">
      <c r="A10" s="2112">
        <v>7</v>
      </c>
      <c r="B10" s="2313"/>
      <c r="C10" s="2313"/>
      <c r="D10" s="2314">
        <f t="shared" si="0"/>
        <v>2013</v>
      </c>
      <c r="E10" s="2315"/>
      <c r="F10" s="2315"/>
      <c r="G10" s="2316"/>
      <c r="H10" s="2317" t="s">
        <v>312</v>
      </c>
      <c r="I10" s="2317"/>
      <c r="J10" s="2317"/>
      <c r="K10" s="2317"/>
      <c r="L10" s="2317"/>
      <c r="M10" s="2317"/>
      <c r="N10" s="2317"/>
      <c r="O10" s="2317"/>
      <c r="P10" s="2318">
        <v>0</v>
      </c>
      <c r="Q10" s="2319"/>
      <c r="R10" s="2319"/>
      <c r="S10" s="2319"/>
      <c r="T10" s="2116">
        <f>ROUND(IPMT(($AA$3%+0.35%)/11,1,$D$219-$D$4+1,$P$220-(SUM($P$4:P9)))*-1,2)</f>
        <v>27000</v>
      </c>
      <c r="U10" s="2116"/>
      <c r="V10" s="2116"/>
      <c r="W10" s="2116"/>
      <c r="X10" s="777"/>
      <c r="Y10" s="777"/>
      <c r="Z10" s="777"/>
      <c r="AA10" s="777"/>
    </row>
    <row r="11" spans="1:27">
      <c r="A11" s="2112">
        <v>8</v>
      </c>
      <c r="B11" s="2313"/>
      <c r="C11" s="2313"/>
      <c r="D11" s="2314">
        <f t="shared" si="0"/>
        <v>2013</v>
      </c>
      <c r="E11" s="2315"/>
      <c r="F11" s="2315"/>
      <c r="G11" s="2316"/>
      <c r="H11" s="2317" t="s">
        <v>313</v>
      </c>
      <c r="I11" s="2317"/>
      <c r="J11" s="2317"/>
      <c r="K11" s="2317"/>
      <c r="L11" s="2317"/>
      <c r="M11" s="2317"/>
      <c r="N11" s="2317"/>
      <c r="O11" s="2317"/>
      <c r="P11" s="2318">
        <v>0</v>
      </c>
      <c r="Q11" s="2319"/>
      <c r="R11" s="2319"/>
      <c r="S11" s="2319"/>
      <c r="T11" s="2116">
        <f>ROUND(IPMT(($AA$3%+0.35%)/11,1,$D$219-$D$4+1,$P$220-(SUM($P$4:P10)))*-1,2)</f>
        <v>27000</v>
      </c>
      <c r="U11" s="2116"/>
      <c r="V11" s="2116"/>
      <c r="W11" s="2116"/>
      <c r="X11" s="777"/>
      <c r="Y11" s="777"/>
      <c r="Z11" s="777"/>
      <c r="AA11" s="777"/>
    </row>
    <row r="12" spans="1:27">
      <c r="A12" s="2112">
        <v>9</v>
      </c>
      <c r="B12" s="2313"/>
      <c r="C12" s="2313"/>
      <c r="D12" s="2314">
        <f t="shared" si="0"/>
        <v>2013</v>
      </c>
      <c r="E12" s="2315"/>
      <c r="F12" s="2315"/>
      <c r="G12" s="2316"/>
      <c r="H12" s="2317" t="s">
        <v>314</v>
      </c>
      <c r="I12" s="2317"/>
      <c r="J12" s="2317"/>
      <c r="K12" s="2317"/>
      <c r="L12" s="2317"/>
      <c r="M12" s="2317"/>
      <c r="N12" s="2317"/>
      <c r="O12" s="2317"/>
      <c r="P12" s="2318">
        <v>0</v>
      </c>
      <c r="Q12" s="2319"/>
      <c r="R12" s="2319"/>
      <c r="S12" s="2319"/>
      <c r="T12" s="2116">
        <f>ROUND(IPMT(($AA$3%+0.35%)/11,1,$D$219-$D$4+1,$P$220-(SUM($P$4:P11)))*-1,2)</f>
        <v>27000</v>
      </c>
      <c r="U12" s="2116"/>
      <c r="V12" s="2116"/>
      <c r="W12" s="2116"/>
      <c r="X12" s="777"/>
      <c r="Y12" s="777"/>
      <c r="Z12" s="777"/>
      <c r="AA12" s="777"/>
    </row>
    <row r="13" spans="1:27">
      <c r="A13" s="2112">
        <v>10</v>
      </c>
      <c r="B13" s="2313"/>
      <c r="C13" s="2313"/>
      <c r="D13" s="2314">
        <f t="shared" si="0"/>
        <v>2013</v>
      </c>
      <c r="E13" s="2315"/>
      <c r="F13" s="2315"/>
      <c r="G13" s="2316"/>
      <c r="H13" s="2317" t="s">
        <v>315</v>
      </c>
      <c r="I13" s="2317"/>
      <c r="J13" s="2317"/>
      <c r="K13" s="2317"/>
      <c r="L13" s="2317"/>
      <c r="M13" s="2317"/>
      <c r="N13" s="2317"/>
      <c r="O13" s="2317"/>
      <c r="P13" s="2318">
        <v>0</v>
      </c>
      <c r="Q13" s="2319"/>
      <c r="R13" s="2319"/>
      <c r="S13" s="2319"/>
      <c r="T13" s="2116">
        <f>ROUND(IPMT(($AA$3%+0.35%)/11,1,$D$219-$D$4+1,$P$220-(SUM($P$4:P12)))*-1,2)</f>
        <v>27000</v>
      </c>
      <c r="U13" s="2116"/>
      <c r="V13" s="2116"/>
      <c r="W13" s="2116"/>
      <c r="X13" s="777"/>
      <c r="Y13" s="777"/>
      <c r="Z13" s="777"/>
      <c r="AA13" s="777"/>
    </row>
    <row r="14" spans="1:27">
      <c r="A14" s="2112">
        <v>11</v>
      </c>
      <c r="B14" s="2313"/>
      <c r="C14" s="2313"/>
      <c r="D14" s="2314">
        <f t="shared" si="0"/>
        <v>2013</v>
      </c>
      <c r="E14" s="2315"/>
      <c r="F14" s="2315"/>
      <c r="G14" s="2316"/>
      <c r="H14" s="2317" t="s">
        <v>316</v>
      </c>
      <c r="I14" s="2317"/>
      <c r="J14" s="2317"/>
      <c r="K14" s="2317"/>
      <c r="L14" s="2317"/>
      <c r="M14" s="2317"/>
      <c r="N14" s="2317"/>
      <c r="O14" s="2317"/>
      <c r="P14" s="2318">
        <v>0</v>
      </c>
      <c r="Q14" s="2319"/>
      <c r="R14" s="2319"/>
      <c r="S14" s="2319"/>
      <c r="T14" s="2116">
        <f>ROUND(IPMT(($AA$3%+0.35%)/11,1,$D$219-$D$4+1,$P$220-(SUM($P$4:P13)))*-1,2)</f>
        <v>27000</v>
      </c>
      <c r="U14" s="2116"/>
      <c r="V14" s="2116"/>
      <c r="W14" s="2116"/>
      <c r="X14" s="777"/>
      <c r="Y14" s="777"/>
      <c r="Z14" s="777"/>
      <c r="AA14" s="777"/>
    </row>
    <row r="15" spans="1:27">
      <c r="A15" s="2112">
        <v>12</v>
      </c>
      <c r="B15" s="2313"/>
      <c r="C15" s="2313"/>
      <c r="D15" s="2314">
        <f t="shared" si="0"/>
        <v>2013</v>
      </c>
      <c r="E15" s="2315"/>
      <c r="F15" s="2315"/>
      <c r="G15" s="2316"/>
      <c r="H15" s="2317" t="s">
        <v>317</v>
      </c>
      <c r="I15" s="2317"/>
      <c r="J15" s="2317"/>
      <c r="K15" s="2317"/>
      <c r="L15" s="2317"/>
      <c r="M15" s="2317"/>
      <c r="N15" s="2317"/>
      <c r="O15" s="2317"/>
      <c r="P15" s="2318">
        <v>0</v>
      </c>
      <c r="Q15" s="2319"/>
      <c r="R15" s="2319"/>
      <c r="S15" s="2319"/>
      <c r="T15" s="2116">
        <f>ROUND(IPMT(($AA$3%+0.35%)/11,1,$D$219-$D$4+1,$P$220-(SUM($P$4:P14)))*-1,2)</f>
        <v>27000</v>
      </c>
      <c r="U15" s="2116"/>
      <c r="V15" s="2116"/>
      <c r="W15" s="2116"/>
      <c r="X15" s="777"/>
      <c r="Y15" s="2324">
        <f>SUM(T4:W15)</f>
        <v>324000</v>
      </c>
      <c r="Z15" s="2325"/>
      <c r="AA15" s="777"/>
    </row>
    <row r="16" spans="1:27">
      <c r="A16" s="2326">
        <v>13</v>
      </c>
      <c r="B16" s="2327"/>
      <c r="C16" s="2327"/>
      <c r="D16" s="2328">
        <f>D15+1</f>
        <v>2014</v>
      </c>
      <c r="E16" s="2328"/>
      <c r="F16" s="2328"/>
      <c r="G16" s="2328"/>
      <c r="H16" s="2328" t="s">
        <v>306</v>
      </c>
      <c r="I16" s="2328"/>
      <c r="J16" s="2328"/>
      <c r="K16" s="2328"/>
      <c r="L16" s="2328"/>
      <c r="M16" s="2328"/>
      <c r="N16" s="2328"/>
      <c r="O16" s="2328"/>
      <c r="P16" s="2329">
        <v>0</v>
      </c>
      <c r="Q16" s="2330"/>
      <c r="R16" s="2330"/>
      <c r="S16" s="2330"/>
      <c r="T16" s="2331">
        <f>ROUND(IPMT(($AA$3%+0.35%)/11,1,$D$219-D15+1,$P$220-(SUM($P$4:P15)))*-1,2)</f>
        <v>27000</v>
      </c>
      <c r="U16" s="2331"/>
      <c r="V16" s="2331"/>
      <c r="W16" s="2331"/>
      <c r="X16" s="777"/>
      <c r="Y16" s="781"/>
      <c r="Z16" s="781"/>
      <c r="AA16" s="777"/>
    </row>
    <row r="17" spans="1:27">
      <c r="A17" s="2112">
        <v>14</v>
      </c>
      <c r="B17" s="2313"/>
      <c r="C17" s="2313"/>
      <c r="D17" s="2317">
        <f>$D$16</f>
        <v>2014</v>
      </c>
      <c r="E17" s="2317"/>
      <c r="F17" s="2317"/>
      <c r="G17" s="2317"/>
      <c r="H17" s="2317" t="s">
        <v>307</v>
      </c>
      <c r="I17" s="2317"/>
      <c r="J17" s="2317"/>
      <c r="K17" s="2317"/>
      <c r="L17" s="2317"/>
      <c r="M17" s="2317"/>
      <c r="N17" s="2317"/>
      <c r="O17" s="2317"/>
      <c r="P17" s="2318">
        <v>0</v>
      </c>
      <c r="Q17" s="2319"/>
      <c r="R17" s="2319"/>
      <c r="S17" s="2319"/>
      <c r="T17" s="2116">
        <f>ROUND(IPMT(($AA$3%+0.35%)/11,1,$D$219-D16+1,$P$220-(SUM($P$4:P16)))*-1,2)</f>
        <v>27000</v>
      </c>
      <c r="U17" s="2116"/>
      <c r="V17" s="2116"/>
      <c r="W17" s="2116"/>
      <c r="X17" s="777"/>
      <c r="Y17" s="781"/>
      <c r="Z17" s="781"/>
      <c r="AA17" s="777"/>
    </row>
    <row r="18" spans="1:27">
      <c r="A18" s="2112">
        <v>15</v>
      </c>
      <c r="B18" s="2313"/>
      <c r="C18" s="2313"/>
      <c r="D18" s="2317">
        <f t="shared" ref="D18:D27" si="1">$D$16</f>
        <v>2014</v>
      </c>
      <c r="E18" s="2317"/>
      <c r="F18" s="2317"/>
      <c r="G18" s="2317"/>
      <c r="H18" s="2317" t="s">
        <v>308</v>
      </c>
      <c r="I18" s="2317"/>
      <c r="J18" s="2317"/>
      <c r="K18" s="2317"/>
      <c r="L18" s="2317"/>
      <c r="M18" s="2317"/>
      <c r="N18" s="2317"/>
      <c r="O18" s="2317"/>
      <c r="P18" s="2318">
        <v>0</v>
      </c>
      <c r="Q18" s="2319"/>
      <c r="R18" s="2319"/>
      <c r="S18" s="2319"/>
      <c r="T18" s="2116">
        <f>ROUND(IPMT(($AA$3%+0.35%)/11,1,$D$219-$D$16+1,$P$220-(SUM($P$4:P17)))*-1,2)</f>
        <v>27000</v>
      </c>
      <c r="U18" s="2116"/>
      <c r="V18" s="2116"/>
      <c r="W18" s="2116"/>
      <c r="X18" s="777"/>
      <c r="Y18" s="781"/>
      <c r="Z18" s="781"/>
      <c r="AA18" s="777"/>
    </row>
    <row r="19" spans="1:27">
      <c r="A19" s="2112">
        <v>16</v>
      </c>
      <c r="B19" s="2313"/>
      <c r="C19" s="2313"/>
      <c r="D19" s="2317">
        <f t="shared" si="1"/>
        <v>2014</v>
      </c>
      <c r="E19" s="2317"/>
      <c r="F19" s="2317"/>
      <c r="G19" s="2317"/>
      <c r="H19" s="2317" t="s">
        <v>309</v>
      </c>
      <c r="I19" s="2317"/>
      <c r="J19" s="2317"/>
      <c r="K19" s="2317"/>
      <c r="L19" s="2317"/>
      <c r="M19" s="2317"/>
      <c r="N19" s="2317"/>
      <c r="O19" s="2317"/>
      <c r="P19" s="2318">
        <v>0</v>
      </c>
      <c r="Q19" s="2319"/>
      <c r="R19" s="2319"/>
      <c r="S19" s="2319"/>
      <c r="T19" s="2116">
        <f>ROUND(IPMT(($AA$3%+0.35%)/11,1,$D$219-$D$16+1,$P$220-(SUM($P$4:P18)))*-1,2)</f>
        <v>27000</v>
      </c>
      <c r="U19" s="2116"/>
      <c r="V19" s="2116"/>
      <c r="W19" s="2116"/>
      <c r="X19" s="777"/>
      <c r="Y19" s="781"/>
      <c r="Z19" s="781"/>
      <c r="AA19" s="777"/>
    </row>
    <row r="20" spans="1:27">
      <c r="A20" s="2112">
        <v>17</v>
      </c>
      <c r="B20" s="2313"/>
      <c r="C20" s="2313"/>
      <c r="D20" s="2317">
        <f t="shared" si="1"/>
        <v>2014</v>
      </c>
      <c r="E20" s="2317"/>
      <c r="F20" s="2317"/>
      <c r="G20" s="2317"/>
      <c r="H20" s="2317" t="s">
        <v>310</v>
      </c>
      <c r="I20" s="2317"/>
      <c r="J20" s="2317"/>
      <c r="K20" s="2317"/>
      <c r="L20" s="2317"/>
      <c r="M20" s="2317"/>
      <c r="N20" s="2317"/>
      <c r="O20" s="2317"/>
      <c r="P20" s="2318">
        <v>0</v>
      </c>
      <c r="Q20" s="2319"/>
      <c r="R20" s="2319"/>
      <c r="S20" s="2319"/>
      <c r="T20" s="2116">
        <f>ROUND(IPMT(($AA$3%+0.35%)/11,1,$D$219-$D$16+1,$P$220-(SUM($P$4:P19)))*-1,2)</f>
        <v>27000</v>
      </c>
      <c r="U20" s="2116"/>
      <c r="V20" s="2116"/>
      <c r="W20" s="2116"/>
      <c r="X20" s="777"/>
      <c r="Y20" s="781"/>
      <c r="Z20" s="781"/>
      <c r="AA20" s="777"/>
    </row>
    <row r="21" spans="1:27">
      <c r="A21" s="2112">
        <v>18</v>
      </c>
      <c r="B21" s="2313"/>
      <c r="C21" s="2313"/>
      <c r="D21" s="2317">
        <f t="shared" si="1"/>
        <v>2014</v>
      </c>
      <c r="E21" s="2317"/>
      <c r="F21" s="2317"/>
      <c r="G21" s="2317"/>
      <c r="H21" s="2317" t="s">
        <v>311</v>
      </c>
      <c r="I21" s="2317"/>
      <c r="J21" s="2317"/>
      <c r="K21" s="2317"/>
      <c r="L21" s="2317"/>
      <c r="M21" s="2317"/>
      <c r="N21" s="2317"/>
      <c r="O21" s="2317"/>
      <c r="P21" s="2318">
        <v>0</v>
      </c>
      <c r="Q21" s="2319"/>
      <c r="R21" s="2319"/>
      <c r="S21" s="2319"/>
      <c r="T21" s="2116">
        <f>ROUND(IPMT(($AA$3%+0.35%)/11,1,$D$219-$D$16+1,$P$220-(SUM($P$4:P20)))*-1,2)</f>
        <v>27000</v>
      </c>
      <c r="U21" s="2116"/>
      <c r="V21" s="2116"/>
      <c r="W21" s="2116"/>
      <c r="X21" s="777"/>
      <c r="Y21" s="781"/>
      <c r="Z21" s="781"/>
      <c r="AA21" s="777"/>
    </row>
    <row r="22" spans="1:27">
      <c r="A22" s="2112">
        <v>19</v>
      </c>
      <c r="B22" s="2313"/>
      <c r="C22" s="2313"/>
      <c r="D22" s="2317">
        <f t="shared" si="1"/>
        <v>2014</v>
      </c>
      <c r="E22" s="2317"/>
      <c r="F22" s="2317"/>
      <c r="G22" s="2317"/>
      <c r="H22" s="2317" t="s">
        <v>312</v>
      </c>
      <c r="I22" s="2317"/>
      <c r="J22" s="2317"/>
      <c r="K22" s="2317"/>
      <c r="L22" s="2317"/>
      <c r="M22" s="2317"/>
      <c r="N22" s="2317"/>
      <c r="O22" s="2317"/>
      <c r="P22" s="2318">
        <v>0</v>
      </c>
      <c r="Q22" s="2319"/>
      <c r="R22" s="2319"/>
      <c r="S22" s="2319"/>
      <c r="T22" s="2116">
        <f>ROUND(IPMT(($AA$3%+0.35%)/11,1,$D$219-$D$16+1,$P$220-(SUM($P$4:P21)))*-1,2)</f>
        <v>27000</v>
      </c>
      <c r="U22" s="2116"/>
      <c r="V22" s="2116"/>
      <c r="W22" s="2116"/>
      <c r="X22" s="777"/>
      <c r="Y22" s="781"/>
      <c r="Z22" s="781"/>
      <c r="AA22" s="777"/>
    </row>
    <row r="23" spans="1:27">
      <c r="A23" s="2112">
        <v>20</v>
      </c>
      <c r="B23" s="2313"/>
      <c r="C23" s="2313"/>
      <c r="D23" s="2317">
        <f t="shared" si="1"/>
        <v>2014</v>
      </c>
      <c r="E23" s="2317"/>
      <c r="F23" s="2317"/>
      <c r="G23" s="2317"/>
      <c r="H23" s="2317" t="s">
        <v>313</v>
      </c>
      <c r="I23" s="2317"/>
      <c r="J23" s="2317"/>
      <c r="K23" s="2317"/>
      <c r="L23" s="2317"/>
      <c r="M23" s="2317"/>
      <c r="N23" s="2317"/>
      <c r="O23" s="2317"/>
      <c r="P23" s="2318">
        <v>0</v>
      </c>
      <c r="Q23" s="2319"/>
      <c r="R23" s="2319"/>
      <c r="S23" s="2319"/>
      <c r="T23" s="2116">
        <f>ROUND(IPMT(($AA$3%+0.35%)/11,1,$D$219-$D$16+1,$P$220-(SUM($P$4:P22)))*-1,2)</f>
        <v>27000</v>
      </c>
      <c r="U23" s="2116"/>
      <c r="V23" s="2116"/>
      <c r="W23" s="2116"/>
      <c r="X23" s="777"/>
      <c r="Y23" s="781"/>
      <c r="Z23" s="781"/>
      <c r="AA23" s="777"/>
    </row>
    <row r="24" spans="1:27">
      <c r="A24" s="2112">
        <v>21</v>
      </c>
      <c r="B24" s="2313"/>
      <c r="C24" s="2313"/>
      <c r="D24" s="2317">
        <f t="shared" si="1"/>
        <v>2014</v>
      </c>
      <c r="E24" s="2317"/>
      <c r="F24" s="2317"/>
      <c r="G24" s="2317"/>
      <c r="H24" s="2317" t="s">
        <v>314</v>
      </c>
      <c r="I24" s="2317"/>
      <c r="J24" s="2317"/>
      <c r="K24" s="2317"/>
      <c r="L24" s="2317"/>
      <c r="M24" s="2317"/>
      <c r="N24" s="2317"/>
      <c r="O24" s="2317"/>
      <c r="P24" s="2318">
        <v>0</v>
      </c>
      <c r="Q24" s="2319"/>
      <c r="R24" s="2319"/>
      <c r="S24" s="2319"/>
      <c r="T24" s="2116">
        <f>ROUND(IPMT(($AA$3%+0.35%)/11,1,$D$219-$D$16+1,$P$220-(SUM($P$4:P23)))*-1,2)</f>
        <v>27000</v>
      </c>
      <c r="U24" s="2116"/>
      <c r="V24" s="2116"/>
      <c r="W24" s="2116"/>
      <c r="X24" s="777"/>
      <c r="Y24" s="781"/>
      <c r="Z24" s="781"/>
      <c r="AA24" s="777"/>
    </row>
    <row r="25" spans="1:27">
      <c r="A25" s="2112">
        <v>22</v>
      </c>
      <c r="B25" s="2313"/>
      <c r="C25" s="2313"/>
      <c r="D25" s="2317">
        <f t="shared" si="1"/>
        <v>2014</v>
      </c>
      <c r="E25" s="2317"/>
      <c r="F25" s="2317"/>
      <c r="G25" s="2317"/>
      <c r="H25" s="2317" t="s">
        <v>315</v>
      </c>
      <c r="I25" s="2317"/>
      <c r="J25" s="2317"/>
      <c r="K25" s="2317"/>
      <c r="L25" s="2317"/>
      <c r="M25" s="2317"/>
      <c r="N25" s="2317"/>
      <c r="O25" s="2317"/>
      <c r="P25" s="2318">
        <v>0</v>
      </c>
      <c r="Q25" s="2319"/>
      <c r="R25" s="2319"/>
      <c r="S25" s="2319"/>
      <c r="T25" s="2116">
        <f>ROUND(IPMT(($AA$3%+0.35%)/11,1,$D$219-$D$16+1,$P$220-(SUM($P$4:P24)))*-1,2)</f>
        <v>27000</v>
      </c>
      <c r="U25" s="2116"/>
      <c r="V25" s="2116"/>
      <c r="W25" s="2116"/>
      <c r="X25" s="777"/>
      <c r="Y25" s="781"/>
      <c r="Z25" s="781"/>
      <c r="AA25" s="777"/>
    </row>
    <row r="26" spans="1:27">
      <c r="A26" s="2112">
        <v>23</v>
      </c>
      <c r="B26" s="2313"/>
      <c r="C26" s="2313"/>
      <c r="D26" s="2317">
        <f t="shared" si="1"/>
        <v>2014</v>
      </c>
      <c r="E26" s="2317"/>
      <c r="F26" s="2317"/>
      <c r="G26" s="2317"/>
      <c r="H26" s="2317" t="s">
        <v>316</v>
      </c>
      <c r="I26" s="2317"/>
      <c r="J26" s="2317"/>
      <c r="K26" s="2317"/>
      <c r="L26" s="2317"/>
      <c r="M26" s="2317"/>
      <c r="N26" s="2317"/>
      <c r="O26" s="2317"/>
      <c r="P26" s="2318">
        <v>0</v>
      </c>
      <c r="Q26" s="2319"/>
      <c r="R26" s="2319"/>
      <c r="S26" s="2319"/>
      <c r="T26" s="2116">
        <f>ROUND(IPMT(($AA$3%+0.35%)/11,1,$D$219-$D$16+1,$P$220-(SUM($P$4:P25)))*-1,2)</f>
        <v>27000</v>
      </c>
      <c r="U26" s="2116"/>
      <c r="V26" s="2116"/>
      <c r="W26" s="2116"/>
      <c r="X26" s="777"/>
      <c r="Y26" s="781"/>
      <c r="Z26" s="781"/>
      <c r="AA26" s="777"/>
    </row>
    <row r="27" spans="1:27">
      <c r="A27" s="2112">
        <v>24</v>
      </c>
      <c r="B27" s="2313"/>
      <c r="C27" s="2313"/>
      <c r="D27" s="2317">
        <f t="shared" si="1"/>
        <v>2014</v>
      </c>
      <c r="E27" s="2317"/>
      <c r="F27" s="2317"/>
      <c r="G27" s="2317"/>
      <c r="H27" s="2317" t="s">
        <v>317</v>
      </c>
      <c r="I27" s="2317"/>
      <c r="J27" s="2317"/>
      <c r="K27" s="2317"/>
      <c r="L27" s="2317"/>
      <c r="M27" s="2317"/>
      <c r="N27" s="2317"/>
      <c r="O27" s="2317"/>
      <c r="P27" s="2318">
        <v>0</v>
      </c>
      <c r="Q27" s="2319"/>
      <c r="R27" s="2319"/>
      <c r="S27" s="2319"/>
      <c r="T27" s="2116">
        <f>ROUND(IPMT(($AA$3%+0.35%)/11,1,$D$219-$D$16+1,$P$220-(SUM($P$4:P26)))*-1,2)</f>
        <v>27000</v>
      </c>
      <c r="U27" s="2116"/>
      <c r="V27" s="2116"/>
      <c r="W27" s="2116"/>
      <c r="X27" s="777"/>
      <c r="Y27" s="2324">
        <f>SUM(T16:W27)</f>
        <v>324000</v>
      </c>
      <c r="Z27" s="2325"/>
      <c r="AA27" s="777"/>
    </row>
    <row r="28" spans="1:27">
      <c r="A28" s="2326">
        <v>25</v>
      </c>
      <c r="B28" s="2327"/>
      <c r="C28" s="2327"/>
      <c r="D28" s="2328">
        <f>D16+1</f>
        <v>2015</v>
      </c>
      <c r="E28" s="2328"/>
      <c r="F28" s="2328"/>
      <c r="G28" s="2328"/>
      <c r="H28" s="2328" t="s">
        <v>306</v>
      </c>
      <c r="I28" s="2328"/>
      <c r="J28" s="2328"/>
      <c r="K28" s="2328"/>
      <c r="L28" s="2328"/>
      <c r="M28" s="2328"/>
      <c r="N28" s="2328"/>
      <c r="O28" s="2328"/>
      <c r="P28" s="2329">
        <v>0</v>
      </c>
      <c r="Q28" s="2330"/>
      <c r="R28" s="2330"/>
      <c r="S28" s="2330"/>
      <c r="T28" s="2331">
        <f>ROUND(IPMT(($AA$3%+0.35%)/11,1,$D$219-$D$16+1,$P$220-(SUM($P$4:P27)))*-1,2)</f>
        <v>27000</v>
      </c>
      <c r="U28" s="2331"/>
      <c r="V28" s="2331"/>
      <c r="W28" s="2331"/>
      <c r="X28" s="777"/>
      <c r="Y28" s="781"/>
      <c r="Z28" s="781"/>
      <c r="AA28" s="777"/>
    </row>
    <row r="29" spans="1:27">
      <c r="A29" s="2112">
        <v>26</v>
      </c>
      <c r="B29" s="2313"/>
      <c r="C29" s="2313"/>
      <c r="D29" s="2317">
        <f>$D$28</f>
        <v>2015</v>
      </c>
      <c r="E29" s="2317"/>
      <c r="F29" s="2317"/>
      <c r="G29" s="2317"/>
      <c r="H29" s="2317" t="s">
        <v>307</v>
      </c>
      <c r="I29" s="2317"/>
      <c r="J29" s="2317"/>
      <c r="K29" s="2317"/>
      <c r="L29" s="2317"/>
      <c r="M29" s="2317"/>
      <c r="N29" s="2317"/>
      <c r="O29" s="2317"/>
      <c r="P29" s="2318">
        <v>0</v>
      </c>
      <c r="Q29" s="2319"/>
      <c r="R29" s="2319"/>
      <c r="S29" s="2319"/>
      <c r="T29" s="2116">
        <f>ROUND(IPMT(($AA$3%+0.35%)/11,1,$D$219-$D$28+1,$P$220-(SUM($P$4:P28)))*-1,2)</f>
        <v>27000</v>
      </c>
      <c r="U29" s="2116"/>
      <c r="V29" s="2116"/>
      <c r="W29" s="2116"/>
      <c r="X29" s="777"/>
      <c r="Y29" s="781"/>
      <c r="Z29" s="781"/>
      <c r="AA29" s="777"/>
    </row>
    <row r="30" spans="1:27">
      <c r="A30" s="2112">
        <v>27</v>
      </c>
      <c r="B30" s="2313"/>
      <c r="C30" s="2313"/>
      <c r="D30" s="2317">
        <f t="shared" ref="D30:D39" si="2">$D$28</f>
        <v>2015</v>
      </c>
      <c r="E30" s="2317"/>
      <c r="F30" s="2317"/>
      <c r="G30" s="2317"/>
      <c r="H30" s="2317" t="s">
        <v>308</v>
      </c>
      <c r="I30" s="2317"/>
      <c r="J30" s="2317"/>
      <c r="K30" s="2317"/>
      <c r="L30" s="2317"/>
      <c r="M30" s="2317"/>
      <c r="N30" s="2317"/>
      <c r="O30" s="2317"/>
      <c r="P30" s="2318">
        <v>0</v>
      </c>
      <c r="Q30" s="2319"/>
      <c r="R30" s="2319"/>
      <c r="S30" s="2319"/>
      <c r="T30" s="2116">
        <f>ROUND(IPMT(($AA$3%+0.35%)/11,1,$D$219-$D$28+1,$P$220-(SUM($P$4:P29)))*-1,2)</f>
        <v>27000</v>
      </c>
      <c r="U30" s="2116"/>
      <c r="V30" s="2116"/>
      <c r="W30" s="2116"/>
      <c r="X30" s="777"/>
      <c r="Y30" s="781"/>
      <c r="Z30" s="781"/>
      <c r="AA30" s="777"/>
    </row>
    <row r="31" spans="1:27">
      <c r="A31" s="2112">
        <v>28</v>
      </c>
      <c r="B31" s="2313"/>
      <c r="C31" s="2313"/>
      <c r="D31" s="2317">
        <f t="shared" si="2"/>
        <v>2015</v>
      </c>
      <c r="E31" s="2317"/>
      <c r="F31" s="2317"/>
      <c r="G31" s="2317"/>
      <c r="H31" s="2317" t="s">
        <v>309</v>
      </c>
      <c r="I31" s="2317"/>
      <c r="J31" s="2317"/>
      <c r="K31" s="2317"/>
      <c r="L31" s="2317"/>
      <c r="M31" s="2317"/>
      <c r="N31" s="2317"/>
      <c r="O31" s="2317"/>
      <c r="P31" s="2318">
        <v>0</v>
      </c>
      <c r="Q31" s="2319"/>
      <c r="R31" s="2319"/>
      <c r="S31" s="2319"/>
      <c r="T31" s="2116">
        <f>ROUND(IPMT(($AA$3%+0.35%)/11,1,$D$219-$D$28+1,$P$220-(SUM($P$4:P30)))*-1,2)</f>
        <v>27000</v>
      </c>
      <c r="U31" s="2116"/>
      <c r="V31" s="2116"/>
      <c r="W31" s="2116"/>
      <c r="X31" s="777"/>
      <c r="Y31" s="781"/>
      <c r="Z31" s="781"/>
      <c r="AA31" s="777"/>
    </row>
    <row r="32" spans="1:27">
      <c r="A32" s="2112">
        <v>29</v>
      </c>
      <c r="B32" s="2313"/>
      <c r="C32" s="2313"/>
      <c r="D32" s="2317">
        <f t="shared" si="2"/>
        <v>2015</v>
      </c>
      <c r="E32" s="2317"/>
      <c r="F32" s="2317"/>
      <c r="G32" s="2317"/>
      <c r="H32" s="2317" t="s">
        <v>310</v>
      </c>
      <c r="I32" s="2317"/>
      <c r="J32" s="2317"/>
      <c r="K32" s="2317"/>
      <c r="L32" s="2317"/>
      <c r="M32" s="2317"/>
      <c r="N32" s="2317"/>
      <c r="O32" s="2317"/>
      <c r="P32" s="2318">
        <v>0</v>
      </c>
      <c r="Q32" s="2319"/>
      <c r="R32" s="2319"/>
      <c r="S32" s="2319"/>
      <c r="T32" s="2116">
        <f>ROUND(IPMT(($AA$3%+0.35%)/11,1,$D$219-$D$28+1,$P$220-(SUM($P$4:P31)))*-1,2)</f>
        <v>27000</v>
      </c>
      <c r="U32" s="2116"/>
      <c r="V32" s="2116"/>
      <c r="W32" s="2116"/>
      <c r="X32" s="777"/>
      <c r="Y32" s="781"/>
      <c r="Z32" s="781"/>
      <c r="AA32" s="777"/>
    </row>
    <row r="33" spans="1:27">
      <c r="A33" s="2112">
        <v>30</v>
      </c>
      <c r="B33" s="2313"/>
      <c r="C33" s="2313"/>
      <c r="D33" s="2317">
        <f t="shared" si="2"/>
        <v>2015</v>
      </c>
      <c r="E33" s="2317"/>
      <c r="F33" s="2317"/>
      <c r="G33" s="2317"/>
      <c r="H33" s="2317" t="s">
        <v>311</v>
      </c>
      <c r="I33" s="2317"/>
      <c r="J33" s="2317"/>
      <c r="K33" s="2317"/>
      <c r="L33" s="2317"/>
      <c r="M33" s="2317"/>
      <c r="N33" s="2317"/>
      <c r="O33" s="2317"/>
      <c r="P33" s="2318">
        <v>0</v>
      </c>
      <c r="Q33" s="2319"/>
      <c r="R33" s="2319"/>
      <c r="S33" s="2319"/>
      <c r="T33" s="2116">
        <f>ROUND(IPMT(($AA$3%+0.35%)/11,1,$D$219-$D$28+1,$P$220-(SUM($P$4:P32)))*-1,2)</f>
        <v>27000</v>
      </c>
      <c r="U33" s="2116"/>
      <c r="V33" s="2116"/>
      <c r="W33" s="2116"/>
      <c r="X33" s="777"/>
      <c r="Y33" s="781"/>
      <c r="Z33" s="781"/>
      <c r="AA33" s="777"/>
    </row>
    <row r="34" spans="1:27">
      <c r="A34" s="2112">
        <v>31</v>
      </c>
      <c r="B34" s="2313"/>
      <c r="C34" s="2313"/>
      <c r="D34" s="2317">
        <f t="shared" si="2"/>
        <v>2015</v>
      </c>
      <c r="E34" s="2317"/>
      <c r="F34" s="2317"/>
      <c r="G34" s="2317"/>
      <c r="H34" s="2317" t="s">
        <v>312</v>
      </c>
      <c r="I34" s="2317"/>
      <c r="J34" s="2317"/>
      <c r="K34" s="2317"/>
      <c r="L34" s="2317"/>
      <c r="M34" s="2317"/>
      <c r="N34" s="2317"/>
      <c r="O34" s="2317"/>
      <c r="P34" s="2318">
        <v>60000</v>
      </c>
      <c r="Q34" s="2319"/>
      <c r="R34" s="2319"/>
      <c r="S34" s="2319"/>
      <c r="T34" s="2116">
        <f>ROUND(IPMT(($AA$3%+0.35%)/11,1,$D$219-$D$28+1,$P$220-(SUM($P$4:P33)))*-1,2)</f>
        <v>27000</v>
      </c>
      <c r="U34" s="2116"/>
      <c r="V34" s="2116"/>
      <c r="W34" s="2116"/>
      <c r="X34" s="777"/>
      <c r="Y34" s="781"/>
      <c r="Z34" s="781"/>
      <c r="AA34" s="777"/>
    </row>
    <row r="35" spans="1:27">
      <c r="A35" s="2112">
        <v>32</v>
      </c>
      <c r="B35" s="2313"/>
      <c r="C35" s="2313"/>
      <c r="D35" s="2317">
        <f t="shared" si="2"/>
        <v>2015</v>
      </c>
      <c r="E35" s="2317"/>
      <c r="F35" s="2317"/>
      <c r="G35" s="2317"/>
      <c r="H35" s="2317" t="s">
        <v>313</v>
      </c>
      <c r="I35" s="2317"/>
      <c r="J35" s="2317"/>
      <c r="K35" s="2317"/>
      <c r="L35" s="2317"/>
      <c r="M35" s="2317"/>
      <c r="N35" s="2317"/>
      <c r="O35" s="2317"/>
      <c r="P35" s="2318">
        <v>60000</v>
      </c>
      <c r="Q35" s="2319"/>
      <c r="R35" s="2319"/>
      <c r="S35" s="2319"/>
      <c r="T35" s="2116">
        <f>ROUND(IPMT(($AA$3%+0.35%)/11,1,$D$219-$D$28+1,$P$220-(SUM($P$4:P34)))*-1,2)</f>
        <v>26850</v>
      </c>
      <c r="U35" s="2116"/>
      <c r="V35" s="2116"/>
      <c r="W35" s="2116"/>
      <c r="X35" s="777"/>
      <c r="Y35" s="781"/>
      <c r="Z35" s="781"/>
      <c r="AA35" s="777"/>
    </row>
    <row r="36" spans="1:27">
      <c r="A36" s="2112">
        <v>33</v>
      </c>
      <c r="B36" s="2313"/>
      <c r="C36" s="2313"/>
      <c r="D36" s="2317">
        <f t="shared" si="2"/>
        <v>2015</v>
      </c>
      <c r="E36" s="2317"/>
      <c r="F36" s="2317"/>
      <c r="G36" s="2317"/>
      <c r="H36" s="2317" t="s">
        <v>314</v>
      </c>
      <c r="I36" s="2317"/>
      <c r="J36" s="2317"/>
      <c r="K36" s="2317"/>
      <c r="L36" s="2317"/>
      <c r="M36" s="2317"/>
      <c r="N36" s="2317"/>
      <c r="O36" s="2317"/>
      <c r="P36" s="2318">
        <v>60000</v>
      </c>
      <c r="Q36" s="2319"/>
      <c r="R36" s="2319"/>
      <c r="S36" s="2319"/>
      <c r="T36" s="2116">
        <f>ROUND(IPMT(($AA$3%+0.35%)/11,1,$D$219-$D$28+1,$P$220-(SUM($P$4:P35)))*-1,2)</f>
        <v>26700</v>
      </c>
      <c r="U36" s="2116"/>
      <c r="V36" s="2116"/>
      <c r="W36" s="2116"/>
      <c r="X36" s="777"/>
      <c r="Y36" s="781"/>
      <c r="Z36" s="781"/>
      <c r="AA36" s="777"/>
    </row>
    <row r="37" spans="1:27">
      <c r="A37" s="2112">
        <v>34</v>
      </c>
      <c r="B37" s="2313"/>
      <c r="C37" s="2313"/>
      <c r="D37" s="2317">
        <f t="shared" si="2"/>
        <v>2015</v>
      </c>
      <c r="E37" s="2317"/>
      <c r="F37" s="2317"/>
      <c r="G37" s="2317"/>
      <c r="H37" s="2317" t="s">
        <v>315</v>
      </c>
      <c r="I37" s="2317"/>
      <c r="J37" s="2317"/>
      <c r="K37" s="2317"/>
      <c r="L37" s="2317"/>
      <c r="M37" s="2317"/>
      <c r="N37" s="2317"/>
      <c r="O37" s="2317"/>
      <c r="P37" s="2318">
        <v>60000</v>
      </c>
      <c r="Q37" s="2319"/>
      <c r="R37" s="2319"/>
      <c r="S37" s="2319"/>
      <c r="T37" s="2116">
        <f>ROUND(IPMT(($AA$3%+0.35%)/11,1,$D$219-$D$28+1,$P$220-(SUM($P$4:P36)))*-1,2)</f>
        <v>26550</v>
      </c>
      <c r="U37" s="2116"/>
      <c r="V37" s="2116"/>
      <c r="W37" s="2116"/>
      <c r="X37" s="777"/>
      <c r="Y37" s="781"/>
      <c r="Z37" s="781"/>
      <c r="AA37" s="777"/>
    </row>
    <row r="38" spans="1:27">
      <c r="A38" s="2112">
        <v>35</v>
      </c>
      <c r="B38" s="2313"/>
      <c r="C38" s="2313"/>
      <c r="D38" s="2317">
        <f t="shared" si="2"/>
        <v>2015</v>
      </c>
      <c r="E38" s="2317"/>
      <c r="F38" s="2317"/>
      <c r="G38" s="2317"/>
      <c r="H38" s="2317" t="s">
        <v>316</v>
      </c>
      <c r="I38" s="2317"/>
      <c r="J38" s="2317"/>
      <c r="K38" s="2317"/>
      <c r="L38" s="2317"/>
      <c r="M38" s="2317"/>
      <c r="N38" s="2317"/>
      <c r="O38" s="2317"/>
      <c r="P38" s="2318">
        <v>60000</v>
      </c>
      <c r="Q38" s="2319"/>
      <c r="R38" s="2319"/>
      <c r="S38" s="2319"/>
      <c r="T38" s="2116">
        <f>ROUND(IPMT(($AA$3%+0.35%)/11,1,$D$219-$D$28+1,$P$220-(SUM($P$4:P37)))*-1,2)</f>
        <v>26400</v>
      </c>
      <c r="U38" s="2116"/>
      <c r="V38" s="2116"/>
      <c r="W38" s="2116"/>
      <c r="X38" s="777"/>
      <c r="Y38" s="781"/>
      <c r="Z38" s="781"/>
      <c r="AA38" s="777"/>
    </row>
    <row r="39" spans="1:27">
      <c r="A39" s="2112">
        <v>36</v>
      </c>
      <c r="B39" s="2313"/>
      <c r="C39" s="2313"/>
      <c r="D39" s="2317">
        <f t="shared" si="2"/>
        <v>2015</v>
      </c>
      <c r="E39" s="2317"/>
      <c r="F39" s="2317"/>
      <c r="G39" s="2317"/>
      <c r="H39" s="2317" t="s">
        <v>317</v>
      </c>
      <c r="I39" s="2317"/>
      <c r="J39" s="2317"/>
      <c r="K39" s="2317"/>
      <c r="L39" s="2317"/>
      <c r="M39" s="2317"/>
      <c r="N39" s="2317"/>
      <c r="O39" s="2317"/>
      <c r="P39" s="2318">
        <v>60000</v>
      </c>
      <c r="Q39" s="2319"/>
      <c r="R39" s="2319"/>
      <c r="S39" s="2319"/>
      <c r="T39" s="2116">
        <f>ROUND(IPMT(($AA$3%+0.35%)/11,1,$D$219-$D$28+1,$P$220-(SUM($P$4:P38)))*-1,2)</f>
        <v>26250</v>
      </c>
      <c r="U39" s="2116"/>
      <c r="V39" s="2116"/>
      <c r="W39" s="2116"/>
      <c r="X39" s="777"/>
      <c r="Y39" s="2324">
        <f>SUM(T28:W39)</f>
        <v>321750</v>
      </c>
      <c r="Z39" s="2325"/>
      <c r="AA39" s="777"/>
    </row>
    <row r="40" spans="1:27">
      <c r="A40" s="2326">
        <v>37</v>
      </c>
      <c r="B40" s="2327"/>
      <c r="C40" s="2327"/>
      <c r="D40" s="2328">
        <f>D28+1</f>
        <v>2016</v>
      </c>
      <c r="E40" s="2328"/>
      <c r="F40" s="2328"/>
      <c r="G40" s="2328"/>
      <c r="H40" s="2328" t="s">
        <v>306</v>
      </c>
      <c r="I40" s="2328"/>
      <c r="J40" s="2328"/>
      <c r="K40" s="2328"/>
      <c r="L40" s="2328"/>
      <c r="M40" s="2328"/>
      <c r="N40" s="2328"/>
      <c r="O40" s="2328"/>
      <c r="P40" s="2329">
        <v>60000</v>
      </c>
      <c r="Q40" s="2330"/>
      <c r="R40" s="2330"/>
      <c r="S40" s="2330"/>
      <c r="T40" s="2331">
        <f>ROUND(IPMT(($AA$3%+0.35%)/11,1,$D$219-$D$28+1,$P$220-(SUM($P$4:P39)))*-1,2)</f>
        <v>26100</v>
      </c>
      <c r="U40" s="2331"/>
      <c r="V40" s="2331"/>
      <c r="W40" s="2331"/>
      <c r="X40" s="777"/>
      <c r="Y40" s="781"/>
      <c r="Z40" s="781"/>
      <c r="AA40" s="777"/>
    </row>
    <row r="41" spans="1:27">
      <c r="A41" s="2112">
        <v>38</v>
      </c>
      <c r="B41" s="2313"/>
      <c r="C41" s="2313"/>
      <c r="D41" s="2317">
        <f>$D$40</f>
        <v>2016</v>
      </c>
      <c r="E41" s="2317"/>
      <c r="F41" s="2317"/>
      <c r="G41" s="2317"/>
      <c r="H41" s="2317" t="s">
        <v>307</v>
      </c>
      <c r="I41" s="2317"/>
      <c r="J41" s="2317"/>
      <c r="K41" s="2317"/>
      <c r="L41" s="2317"/>
      <c r="M41" s="2317"/>
      <c r="N41" s="2317"/>
      <c r="O41" s="2317"/>
      <c r="P41" s="2318">
        <v>60000</v>
      </c>
      <c r="Q41" s="2319"/>
      <c r="R41" s="2319"/>
      <c r="S41" s="2319"/>
      <c r="T41" s="2116">
        <f>ROUND(IPMT(($AA$3%+0.35%)/11,1,$D$219-$D$40+1,$P$220-(SUM($P$4:P40)))*-1,2)</f>
        <v>25950</v>
      </c>
      <c r="U41" s="2116"/>
      <c r="V41" s="2116"/>
      <c r="W41" s="2116"/>
      <c r="X41" s="777"/>
      <c r="Y41" s="781"/>
      <c r="Z41" s="781"/>
      <c r="AA41" s="777"/>
    </row>
    <row r="42" spans="1:27">
      <c r="A42" s="2112">
        <v>39</v>
      </c>
      <c r="B42" s="2313"/>
      <c r="C42" s="2313"/>
      <c r="D42" s="2317">
        <f t="shared" ref="D42:D51" si="3">$D$40</f>
        <v>2016</v>
      </c>
      <c r="E42" s="2317"/>
      <c r="F42" s="2317"/>
      <c r="G42" s="2317"/>
      <c r="H42" s="2317" t="s">
        <v>308</v>
      </c>
      <c r="I42" s="2317"/>
      <c r="J42" s="2317"/>
      <c r="K42" s="2317"/>
      <c r="L42" s="2317"/>
      <c r="M42" s="2317"/>
      <c r="N42" s="2317"/>
      <c r="O42" s="2317"/>
      <c r="P42" s="2318">
        <v>60000</v>
      </c>
      <c r="Q42" s="2319"/>
      <c r="R42" s="2319"/>
      <c r="S42" s="2319"/>
      <c r="T42" s="2116">
        <f>ROUND(IPMT(($AA$3%+0.35%)/11,1,$D$219-$D$40+1,$P$220-(SUM($P$4:P41)))*-1,2)</f>
        <v>25800</v>
      </c>
      <c r="U42" s="2116"/>
      <c r="V42" s="2116"/>
      <c r="W42" s="2116"/>
      <c r="X42" s="777"/>
      <c r="Y42" s="781"/>
      <c r="Z42" s="781"/>
      <c r="AA42" s="777"/>
    </row>
    <row r="43" spans="1:27">
      <c r="A43" s="2112">
        <v>40</v>
      </c>
      <c r="B43" s="2313"/>
      <c r="C43" s="2313"/>
      <c r="D43" s="2317">
        <f t="shared" si="3"/>
        <v>2016</v>
      </c>
      <c r="E43" s="2317"/>
      <c r="F43" s="2317"/>
      <c r="G43" s="2317"/>
      <c r="H43" s="2317" t="s">
        <v>309</v>
      </c>
      <c r="I43" s="2317"/>
      <c r="J43" s="2317"/>
      <c r="K43" s="2317"/>
      <c r="L43" s="2317"/>
      <c r="M43" s="2317"/>
      <c r="N43" s="2317"/>
      <c r="O43" s="2317"/>
      <c r="P43" s="2318">
        <v>60000</v>
      </c>
      <c r="Q43" s="2319"/>
      <c r="R43" s="2319"/>
      <c r="S43" s="2319"/>
      <c r="T43" s="2116">
        <f>ROUND(IPMT(($AA$3%+0.35%)/11,1,$D$219-$D$40+1,$P$220-(SUM($P$4:P42)))*-1,2)</f>
        <v>25650</v>
      </c>
      <c r="U43" s="2116"/>
      <c r="V43" s="2116"/>
      <c r="W43" s="2116"/>
      <c r="X43" s="777"/>
      <c r="Y43" s="781"/>
      <c r="Z43" s="781"/>
      <c r="AA43" s="777"/>
    </row>
    <row r="44" spans="1:27">
      <c r="A44" s="2112">
        <v>41</v>
      </c>
      <c r="B44" s="2313"/>
      <c r="C44" s="2313"/>
      <c r="D44" s="2317">
        <f t="shared" si="3"/>
        <v>2016</v>
      </c>
      <c r="E44" s="2317"/>
      <c r="F44" s="2317"/>
      <c r="G44" s="2317"/>
      <c r="H44" s="2317" t="s">
        <v>310</v>
      </c>
      <c r="I44" s="2317"/>
      <c r="J44" s="2317"/>
      <c r="K44" s="2317"/>
      <c r="L44" s="2317"/>
      <c r="M44" s="2317"/>
      <c r="N44" s="2317"/>
      <c r="O44" s="2317"/>
      <c r="P44" s="2318">
        <v>60000</v>
      </c>
      <c r="Q44" s="2319"/>
      <c r="R44" s="2319"/>
      <c r="S44" s="2319"/>
      <c r="T44" s="2116">
        <f>ROUND(IPMT(($AA$3%+0.35%)/11,1,$D$219-$D$40+1,$P$220-(SUM($P$4:P43)))*-1,2)</f>
        <v>25500</v>
      </c>
      <c r="U44" s="2116"/>
      <c r="V44" s="2116"/>
      <c r="W44" s="2116"/>
      <c r="X44" s="777"/>
      <c r="Y44" s="781"/>
      <c r="Z44" s="781"/>
      <c r="AA44" s="777"/>
    </row>
    <row r="45" spans="1:27">
      <c r="A45" s="2112">
        <v>42</v>
      </c>
      <c r="B45" s="2313"/>
      <c r="C45" s="2313"/>
      <c r="D45" s="2317">
        <f t="shared" si="3"/>
        <v>2016</v>
      </c>
      <c r="E45" s="2317"/>
      <c r="F45" s="2317"/>
      <c r="G45" s="2317"/>
      <c r="H45" s="2317" t="s">
        <v>311</v>
      </c>
      <c r="I45" s="2317"/>
      <c r="J45" s="2317"/>
      <c r="K45" s="2317"/>
      <c r="L45" s="2317"/>
      <c r="M45" s="2317"/>
      <c r="N45" s="2317"/>
      <c r="O45" s="2317"/>
      <c r="P45" s="2318">
        <v>60000</v>
      </c>
      <c r="Q45" s="2319"/>
      <c r="R45" s="2319"/>
      <c r="S45" s="2319"/>
      <c r="T45" s="2116">
        <f>ROUND(IPMT(($AA$3%+0.35%)/11,1,$D$219-$D$40+1,$P$220-(SUM($P$4:P44)))*-1,2)</f>
        <v>25350</v>
      </c>
      <c r="U45" s="2116"/>
      <c r="V45" s="2116"/>
      <c r="W45" s="2116"/>
      <c r="X45" s="777"/>
      <c r="Y45" s="781"/>
      <c r="Z45" s="781"/>
      <c r="AA45" s="777"/>
    </row>
    <row r="46" spans="1:27">
      <c r="A46" s="2112">
        <v>43</v>
      </c>
      <c r="B46" s="2313"/>
      <c r="C46" s="2313"/>
      <c r="D46" s="2317">
        <f t="shared" si="3"/>
        <v>2016</v>
      </c>
      <c r="E46" s="2317"/>
      <c r="F46" s="2317"/>
      <c r="G46" s="2317"/>
      <c r="H46" s="2317" t="s">
        <v>312</v>
      </c>
      <c r="I46" s="2317"/>
      <c r="J46" s="2317"/>
      <c r="K46" s="2317"/>
      <c r="L46" s="2317"/>
      <c r="M46" s="2317"/>
      <c r="N46" s="2317"/>
      <c r="O46" s="2317"/>
      <c r="P46" s="2318">
        <v>60000</v>
      </c>
      <c r="Q46" s="2319"/>
      <c r="R46" s="2319"/>
      <c r="S46" s="2319"/>
      <c r="T46" s="2116">
        <f>ROUND(IPMT(($AA$3%+0.35%)/11,1,$D$219-$D$40+1,$P$220-(SUM($P$4:P45)))*-1,2)</f>
        <v>25200</v>
      </c>
      <c r="U46" s="2116"/>
      <c r="V46" s="2116"/>
      <c r="W46" s="2116"/>
      <c r="X46" s="777"/>
      <c r="Y46" s="781"/>
      <c r="Z46" s="781"/>
      <c r="AA46" s="777"/>
    </row>
    <row r="47" spans="1:27">
      <c r="A47" s="2112">
        <v>44</v>
      </c>
      <c r="B47" s="2313"/>
      <c r="C47" s="2313"/>
      <c r="D47" s="2317">
        <f t="shared" si="3"/>
        <v>2016</v>
      </c>
      <c r="E47" s="2317"/>
      <c r="F47" s="2317"/>
      <c r="G47" s="2317"/>
      <c r="H47" s="2317" t="s">
        <v>313</v>
      </c>
      <c r="I47" s="2317"/>
      <c r="J47" s="2317"/>
      <c r="K47" s="2317"/>
      <c r="L47" s="2317"/>
      <c r="M47" s="2317"/>
      <c r="N47" s="2317"/>
      <c r="O47" s="2317"/>
      <c r="P47" s="2318">
        <v>60000</v>
      </c>
      <c r="Q47" s="2319"/>
      <c r="R47" s="2319"/>
      <c r="S47" s="2319"/>
      <c r="T47" s="2116">
        <f>ROUND(IPMT(($AA$3%+0.35%)/11,1,$D$219-$D$40+1,$P$220-(SUM($P$4:P46)))*-1,2)</f>
        <v>25050</v>
      </c>
      <c r="U47" s="2116"/>
      <c r="V47" s="2116"/>
      <c r="W47" s="2116"/>
      <c r="X47" s="777"/>
      <c r="Y47" s="781"/>
      <c r="Z47" s="781"/>
      <c r="AA47" s="777"/>
    </row>
    <row r="48" spans="1:27">
      <c r="A48" s="2112">
        <v>45</v>
      </c>
      <c r="B48" s="2313"/>
      <c r="C48" s="2313"/>
      <c r="D48" s="2317">
        <f t="shared" si="3"/>
        <v>2016</v>
      </c>
      <c r="E48" s="2317"/>
      <c r="F48" s="2317"/>
      <c r="G48" s="2317"/>
      <c r="H48" s="2317" t="s">
        <v>314</v>
      </c>
      <c r="I48" s="2317"/>
      <c r="J48" s="2317"/>
      <c r="K48" s="2317"/>
      <c r="L48" s="2317"/>
      <c r="M48" s="2317"/>
      <c r="N48" s="2317"/>
      <c r="O48" s="2317"/>
      <c r="P48" s="2318">
        <v>60000</v>
      </c>
      <c r="Q48" s="2319"/>
      <c r="R48" s="2319"/>
      <c r="S48" s="2319"/>
      <c r="T48" s="2116">
        <f>ROUND(IPMT(($AA$3%+0.35%)/11,1,$D$219-$D$40+1,$P$220-(SUM($P$4:P47)))*-1,2)</f>
        <v>24900</v>
      </c>
      <c r="U48" s="2116"/>
      <c r="V48" s="2116"/>
      <c r="W48" s="2116"/>
      <c r="X48" s="777"/>
      <c r="Y48" s="781"/>
      <c r="Z48" s="781"/>
      <c r="AA48" s="777"/>
    </row>
    <row r="49" spans="1:27">
      <c r="A49" s="2112">
        <v>46</v>
      </c>
      <c r="B49" s="2313"/>
      <c r="C49" s="2313"/>
      <c r="D49" s="2317">
        <f t="shared" si="3"/>
        <v>2016</v>
      </c>
      <c r="E49" s="2317"/>
      <c r="F49" s="2317"/>
      <c r="G49" s="2317"/>
      <c r="H49" s="2317" t="s">
        <v>315</v>
      </c>
      <c r="I49" s="2317"/>
      <c r="J49" s="2317"/>
      <c r="K49" s="2317"/>
      <c r="L49" s="2317"/>
      <c r="M49" s="2317"/>
      <c r="N49" s="2317"/>
      <c r="O49" s="2317"/>
      <c r="P49" s="2318">
        <v>60000</v>
      </c>
      <c r="Q49" s="2319"/>
      <c r="R49" s="2319"/>
      <c r="S49" s="2319"/>
      <c r="T49" s="2116">
        <f>ROUND(IPMT(($AA$3%+0.35%)/11,1,$D$219-$D$40+1,$P$220-(SUM($P$4:P48)))*-1,2)</f>
        <v>24750</v>
      </c>
      <c r="U49" s="2116"/>
      <c r="V49" s="2116"/>
      <c r="W49" s="2116"/>
      <c r="X49" s="777"/>
      <c r="Y49" s="781"/>
      <c r="Z49" s="781"/>
      <c r="AA49" s="777"/>
    </row>
    <row r="50" spans="1:27">
      <c r="A50" s="2112">
        <v>47</v>
      </c>
      <c r="B50" s="2313"/>
      <c r="C50" s="2313"/>
      <c r="D50" s="2317">
        <f t="shared" si="3"/>
        <v>2016</v>
      </c>
      <c r="E50" s="2317"/>
      <c r="F50" s="2317"/>
      <c r="G50" s="2317"/>
      <c r="H50" s="2317" t="s">
        <v>316</v>
      </c>
      <c r="I50" s="2317"/>
      <c r="J50" s="2317"/>
      <c r="K50" s="2317"/>
      <c r="L50" s="2317"/>
      <c r="M50" s="2317"/>
      <c r="N50" s="2317"/>
      <c r="O50" s="2317"/>
      <c r="P50" s="2318">
        <v>60000</v>
      </c>
      <c r="Q50" s="2319"/>
      <c r="R50" s="2319"/>
      <c r="S50" s="2319"/>
      <c r="T50" s="2116">
        <f>ROUND(IPMT(($AA$3%+0.35%)/11,1,$D$219-$D$40+1,$P$220-(SUM($P$4:P49)))*-1,2)</f>
        <v>24600</v>
      </c>
      <c r="U50" s="2116"/>
      <c r="V50" s="2116"/>
      <c r="W50" s="2116"/>
      <c r="X50" s="777"/>
      <c r="Y50" s="781"/>
      <c r="Z50" s="781"/>
      <c r="AA50" s="777"/>
    </row>
    <row r="51" spans="1:27">
      <c r="A51" s="2112">
        <v>48</v>
      </c>
      <c r="B51" s="2313"/>
      <c r="C51" s="2313"/>
      <c r="D51" s="2317">
        <f t="shared" si="3"/>
        <v>2016</v>
      </c>
      <c r="E51" s="2317"/>
      <c r="F51" s="2317"/>
      <c r="G51" s="2317"/>
      <c r="H51" s="2317" t="s">
        <v>317</v>
      </c>
      <c r="I51" s="2317"/>
      <c r="J51" s="2317"/>
      <c r="K51" s="2317"/>
      <c r="L51" s="2317"/>
      <c r="M51" s="2317"/>
      <c r="N51" s="2317"/>
      <c r="O51" s="2317"/>
      <c r="P51" s="2318">
        <v>60000</v>
      </c>
      <c r="Q51" s="2319"/>
      <c r="R51" s="2319"/>
      <c r="S51" s="2319"/>
      <c r="T51" s="2116">
        <f>ROUND(IPMT(($AA$3%+0.35%)/11,1,$D$219-$D$40+1,$P$220-(SUM($P$4:P50)))*-1,2)</f>
        <v>24450</v>
      </c>
      <c r="U51" s="2116"/>
      <c r="V51" s="2116"/>
      <c r="W51" s="2116"/>
      <c r="X51" s="777"/>
      <c r="Y51" s="2324">
        <f>SUM(T40:W51)</f>
        <v>303300</v>
      </c>
      <c r="Z51" s="2325"/>
      <c r="AA51" s="777"/>
    </row>
    <row r="52" spans="1:27">
      <c r="A52" s="2326">
        <v>49</v>
      </c>
      <c r="B52" s="2327"/>
      <c r="C52" s="2327"/>
      <c r="D52" s="2328">
        <f>D40+1</f>
        <v>2017</v>
      </c>
      <c r="E52" s="2328"/>
      <c r="F52" s="2328"/>
      <c r="G52" s="2328"/>
      <c r="H52" s="2328" t="s">
        <v>306</v>
      </c>
      <c r="I52" s="2328"/>
      <c r="J52" s="2328"/>
      <c r="K52" s="2328"/>
      <c r="L52" s="2328"/>
      <c r="M52" s="2328"/>
      <c r="N52" s="2328"/>
      <c r="O52" s="2328"/>
      <c r="P52" s="2329">
        <v>60000</v>
      </c>
      <c r="Q52" s="2330"/>
      <c r="R52" s="2330"/>
      <c r="S52" s="2330"/>
      <c r="T52" s="2331">
        <f>ROUND(IPMT(($AA$3%+0.35%)/11,1,$D$219-$D$40+1,$P$220-(SUM($P$4:P51)))*-1,2)</f>
        <v>24300</v>
      </c>
      <c r="U52" s="2331"/>
      <c r="V52" s="2331"/>
      <c r="W52" s="2331"/>
      <c r="X52" s="777"/>
      <c r="Y52" s="781"/>
      <c r="Z52" s="781"/>
      <c r="AA52" s="777"/>
    </row>
    <row r="53" spans="1:27">
      <c r="A53" s="2112">
        <v>50</v>
      </c>
      <c r="B53" s="2313"/>
      <c r="C53" s="2313"/>
      <c r="D53" s="2317">
        <f>$D$52</f>
        <v>2017</v>
      </c>
      <c r="E53" s="2317"/>
      <c r="F53" s="2317"/>
      <c r="G53" s="2317"/>
      <c r="H53" s="2317" t="s">
        <v>307</v>
      </c>
      <c r="I53" s="2317"/>
      <c r="J53" s="2317"/>
      <c r="K53" s="2317"/>
      <c r="L53" s="2317"/>
      <c r="M53" s="2317"/>
      <c r="N53" s="2317"/>
      <c r="O53" s="2317"/>
      <c r="P53" s="2318">
        <v>60000</v>
      </c>
      <c r="Q53" s="2319"/>
      <c r="R53" s="2319"/>
      <c r="S53" s="2319"/>
      <c r="T53" s="2116">
        <f>ROUND(IPMT(($AA$3%+0.35%)/11,1,$D$219-$D$52+1,$P$220-(SUM($P$4:P52)))*-1,2)</f>
        <v>24150</v>
      </c>
      <c r="U53" s="2116"/>
      <c r="V53" s="2116"/>
      <c r="W53" s="2116"/>
      <c r="X53" s="777"/>
      <c r="Y53" s="781"/>
      <c r="Z53" s="781"/>
      <c r="AA53" s="777"/>
    </row>
    <row r="54" spans="1:27">
      <c r="A54" s="2112">
        <v>51</v>
      </c>
      <c r="B54" s="2313"/>
      <c r="C54" s="2313"/>
      <c r="D54" s="2317">
        <f t="shared" ref="D54:D63" si="4">$D$52</f>
        <v>2017</v>
      </c>
      <c r="E54" s="2317"/>
      <c r="F54" s="2317"/>
      <c r="G54" s="2317"/>
      <c r="H54" s="2317" t="s">
        <v>308</v>
      </c>
      <c r="I54" s="2317"/>
      <c r="J54" s="2317"/>
      <c r="K54" s="2317"/>
      <c r="L54" s="2317"/>
      <c r="M54" s="2317"/>
      <c r="N54" s="2317"/>
      <c r="O54" s="2317"/>
      <c r="P54" s="2318">
        <v>60000</v>
      </c>
      <c r="Q54" s="2319"/>
      <c r="R54" s="2319"/>
      <c r="S54" s="2319"/>
      <c r="T54" s="2116">
        <f>ROUND(IPMT(($AA$3%+0.35%)/11,1,$D$219-$D$52+1,$P$220-(SUM($P$4:P53)))*-1,2)</f>
        <v>24000</v>
      </c>
      <c r="U54" s="2116"/>
      <c r="V54" s="2116"/>
      <c r="W54" s="2116"/>
      <c r="X54" s="777"/>
      <c r="Y54" s="781"/>
      <c r="Z54" s="781"/>
      <c r="AA54" s="777"/>
    </row>
    <row r="55" spans="1:27">
      <c r="A55" s="2112">
        <v>52</v>
      </c>
      <c r="B55" s="2313"/>
      <c r="C55" s="2313"/>
      <c r="D55" s="2317">
        <f t="shared" si="4"/>
        <v>2017</v>
      </c>
      <c r="E55" s="2317"/>
      <c r="F55" s="2317"/>
      <c r="G55" s="2317"/>
      <c r="H55" s="2317" t="s">
        <v>309</v>
      </c>
      <c r="I55" s="2317"/>
      <c r="J55" s="2317"/>
      <c r="K55" s="2317"/>
      <c r="L55" s="2317"/>
      <c r="M55" s="2317"/>
      <c r="N55" s="2317"/>
      <c r="O55" s="2317"/>
      <c r="P55" s="2318">
        <v>60000</v>
      </c>
      <c r="Q55" s="2319"/>
      <c r="R55" s="2319"/>
      <c r="S55" s="2319"/>
      <c r="T55" s="2116">
        <f>ROUND(IPMT(($AA$3%+0.35%)/11,1,$D$219-$D$52+1,$P$220-(SUM($P$4:P54)))*-1,2)</f>
        <v>23850</v>
      </c>
      <c r="U55" s="2116"/>
      <c r="V55" s="2116"/>
      <c r="W55" s="2116"/>
      <c r="X55" s="777"/>
      <c r="Y55" s="781"/>
      <c r="Z55" s="781"/>
      <c r="AA55" s="777"/>
    </row>
    <row r="56" spans="1:27">
      <c r="A56" s="2112">
        <v>53</v>
      </c>
      <c r="B56" s="2313"/>
      <c r="C56" s="2313"/>
      <c r="D56" s="2317">
        <f t="shared" si="4"/>
        <v>2017</v>
      </c>
      <c r="E56" s="2317"/>
      <c r="F56" s="2317"/>
      <c r="G56" s="2317"/>
      <c r="H56" s="2317" t="s">
        <v>310</v>
      </c>
      <c r="I56" s="2317"/>
      <c r="J56" s="2317"/>
      <c r="K56" s="2317"/>
      <c r="L56" s="2317"/>
      <c r="M56" s="2317"/>
      <c r="N56" s="2317"/>
      <c r="O56" s="2317"/>
      <c r="P56" s="2318">
        <v>60000</v>
      </c>
      <c r="Q56" s="2319"/>
      <c r="R56" s="2319"/>
      <c r="S56" s="2319"/>
      <c r="T56" s="2116">
        <f>ROUND(IPMT(($AA$3%+0.35%)/11,1,$D$219-$D$52+1,$P$220-(SUM($P$4:P55)))*-1,2)</f>
        <v>23700</v>
      </c>
      <c r="U56" s="2116"/>
      <c r="V56" s="2116"/>
      <c r="W56" s="2116"/>
      <c r="X56" s="777"/>
      <c r="Y56" s="781"/>
      <c r="Z56" s="781"/>
      <c r="AA56" s="777"/>
    </row>
    <row r="57" spans="1:27">
      <c r="A57" s="2112">
        <v>54</v>
      </c>
      <c r="B57" s="2313"/>
      <c r="C57" s="2313"/>
      <c r="D57" s="2317">
        <f t="shared" si="4"/>
        <v>2017</v>
      </c>
      <c r="E57" s="2317"/>
      <c r="F57" s="2317"/>
      <c r="G57" s="2317"/>
      <c r="H57" s="2317" t="s">
        <v>311</v>
      </c>
      <c r="I57" s="2317"/>
      <c r="J57" s="2317"/>
      <c r="K57" s="2317"/>
      <c r="L57" s="2317"/>
      <c r="M57" s="2317"/>
      <c r="N57" s="2317"/>
      <c r="O57" s="2317"/>
      <c r="P57" s="2318">
        <v>60000</v>
      </c>
      <c r="Q57" s="2319"/>
      <c r="R57" s="2319"/>
      <c r="S57" s="2319"/>
      <c r="T57" s="2116">
        <f>ROUND(IPMT(($AA$3%+0.35%)/11,1,$D$219-$D$52+1,$P$220-(SUM($P$4:P56)))*-1,2)</f>
        <v>23550</v>
      </c>
      <c r="U57" s="2116"/>
      <c r="V57" s="2116"/>
      <c r="W57" s="2116"/>
      <c r="X57" s="777"/>
      <c r="Y57" s="781"/>
      <c r="Z57" s="781"/>
      <c r="AA57" s="777"/>
    </row>
    <row r="58" spans="1:27">
      <c r="A58" s="2112">
        <v>55</v>
      </c>
      <c r="B58" s="2313"/>
      <c r="C58" s="2313"/>
      <c r="D58" s="2317">
        <f t="shared" si="4"/>
        <v>2017</v>
      </c>
      <c r="E58" s="2317"/>
      <c r="F58" s="2317"/>
      <c r="G58" s="2317"/>
      <c r="H58" s="2317" t="s">
        <v>312</v>
      </c>
      <c r="I58" s="2317"/>
      <c r="J58" s="2317"/>
      <c r="K58" s="2317"/>
      <c r="L58" s="2317"/>
      <c r="M58" s="2317"/>
      <c r="N58" s="2317"/>
      <c r="O58" s="2317"/>
      <c r="P58" s="2318">
        <v>60000</v>
      </c>
      <c r="Q58" s="2319"/>
      <c r="R58" s="2319"/>
      <c r="S58" s="2319"/>
      <c r="T58" s="2116">
        <f>ROUND(IPMT(($AA$3%+0.35%)/11,1,$D$219-$D$52+1,$P$220-(SUM($P$4:P57)))*-1,2)</f>
        <v>23400</v>
      </c>
      <c r="U58" s="2116"/>
      <c r="V58" s="2116"/>
      <c r="W58" s="2116"/>
      <c r="X58" s="777"/>
      <c r="Y58" s="781"/>
      <c r="Z58" s="781"/>
      <c r="AA58" s="777"/>
    </row>
    <row r="59" spans="1:27">
      <c r="A59" s="2112">
        <v>56</v>
      </c>
      <c r="B59" s="2313"/>
      <c r="C59" s="2313"/>
      <c r="D59" s="2317">
        <f t="shared" si="4"/>
        <v>2017</v>
      </c>
      <c r="E59" s="2317"/>
      <c r="F59" s="2317"/>
      <c r="G59" s="2317"/>
      <c r="H59" s="2317" t="s">
        <v>313</v>
      </c>
      <c r="I59" s="2317"/>
      <c r="J59" s="2317"/>
      <c r="K59" s="2317"/>
      <c r="L59" s="2317"/>
      <c r="M59" s="2317"/>
      <c r="N59" s="2317"/>
      <c r="O59" s="2317"/>
      <c r="P59" s="2318">
        <v>60000</v>
      </c>
      <c r="Q59" s="2319"/>
      <c r="R59" s="2319"/>
      <c r="S59" s="2319"/>
      <c r="T59" s="2116">
        <f>ROUND(IPMT(($AA$3%+0.35%)/11,1,$D$219-$D$52+1,$P$220-(SUM($P$4:P58)))*-1,2)</f>
        <v>23250</v>
      </c>
      <c r="U59" s="2116"/>
      <c r="V59" s="2116"/>
      <c r="W59" s="2116"/>
      <c r="X59" s="777"/>
      <c r="Y59" s="781"/>
      <c r="Z59" s="781"/>
      <c r="AA59" s="777"/>
    </row>
    <row r="60" spans="1:27">
      <c r="A60" s="2112">
        <v>57</v>
      </c>
      <c r="B60" s="2313"/>
      <c r="C60" s="2313"/>
      <c r="D60" s="2317">
        <f t="shared" si="4"/>
        <v>2017</v>
      </c>
      <c r="E60" s="2317"/>
      <c r="F60" s="2317"/>
      <c r="G60" s="2317"/>
      <c r="H60" s="2317" t="s">
        <v>314</v>
      </c>
      <c r="I60" s="2317"/>
      <c r="J60" s="2317"/>
      <c r="K60" s="2317"/>
      <c r="L60" s="2317"/>
      <c r="M60" s="2317"/>
      <c r="N60" s="2317"/>
      <c r="O60" s="2317"/>
      <c r="P60" s="2318">
        <v>60000</v>
      </c>
      <c r="Q60" s="2319"/>
      <c r="R60" s="2319"/>
      <c r="S60" s="2319"/>
      <c r="T60" s="2116">
        <f>ROUND(IPMT(($AA$3%+0.35%)/11,1,$D$219-$D$52+1,$P$220-(SUM($P$4:P59)))*-1,2)</f>
        <v>23100</v>
      </c>
      <c r="U60" s="2116"/>
      <c r="V60" s="2116"/>
      <c r="W60" s="2116"/>
      <c r="X60" s="777"/>
      <c r="Y60" s="781"/>
      <c r="Z60" s="781"/>
      <c r="AA60" s="777"/>
    </row>
    <row r="61" spans="1:27">
      <c r="A61" s="2112">
        <v>58</v>
      </c>
      <c r="B61" s="2313"/>
      <c r="C61" s="2313"/>
      <c r="D61" s="2317">
        <f t="shared" si="4"/>
        <v>2017</v>
      </c>
      <c r="E61" s="2317"/>
      <c r="F61" s="2317"/>
      <c r="G61" s="2317"/>
      <c r="H61" s="2317" t="s">
        <v>315</v>
      </c>
      <c r="I61" s="2317"/>
      <c r="J61" s="2317"/>
      <c r="K61" s="2317"/>
      <c r="L61" s="2317"/>
      <c r="M61" s="2317"/>
      <c r="N61" s="2317"/>
      <c r="O61" s="2317"/>
      <c r="P61" s="2318">
        <v>60000</v>
      </c>
      <c r="Q61" s="2319"/>
      <c r="R61" s="2319"/>
      <c r="S61" s="2319"/>
      <c r="T61" s="2116">
        <f>ROUND(IPMT(($AA$3%+0.35%)/11,1,$D$219-$D$52+1,$P$220-(SUM($P$4:P60)))*-1,2)</f>
        <v>22950</v>
      </c>
      <c r="U61" s="2116"/>
      <c r="V61" s="2116"/>
      <c r="W61" s="2116"/>
      <c r="X61" s="777"/>
      <c r="Y61" s="781"/>
      <c r="Z61" s="781"/>
      <c r="AA61" s="777"/>
    </row>
    <row r="62" spans="1:27">
      <c r="A62" s="2112">
        <v>59</v>
      </c>
      <c r="B62" s="2313"/>
      <c r="C62" s="2313"/>
      <c r="D62" s="2317">
        <f t="shared" si="4"/>
        <v>2017</v>
      </c>
      <c r="E62" s="2317"/>
      <c r="F62" s="2317"/>
      <c r="G62" s="2317"/>
      <c r="H62" s="2317" t="s">
        <v>316</v>
      </c>
      <c r="I62" s="2317"/>
      <c r="J62" s="2317"/>
      <c r="K62" s="2317"/>
      <c r="L62" s="2317"/>
      <c r="M62" s="2317"/>
      <c r="N62" s="2317"/>
      <c r="O62" s="2317"/>
      <c r="P62" s="2318">
        <v>60000</v>
      </c>
      <c r="Q62" s="2319"/>
      <c r="R62" s="2319"/>
      <c r="S62" s="2319"/>
      <c r="T62" s="2116">
        <f>ROUND(IPMT(($AA$3%+0.35%)/11,1,$D$219-$D$52+1,$P$220-(SUM($P$4:P61)))*-1,2)</f>
        <v>22800</v>
      </c>
      <c r="U62" s="2116"/>
      <c r="V62" s="2116"/>
      <c r="W62" s="2116"/>
      <c r="X62" s="777"/>
      <c r="Y62" s="781"/>
      <c r="Z62" s="781"/>
      <c r="AA62" s="777"/>
    </row>
    <row r="63" spans="1:27">
      <c r="A63" s="2112">
        <v>60</v>
      </c>
      <c r="B63" s="2313"/>
      <c r="C63" s="2313"/>
      <c r="D63" s="2317">
        <f t="shared" si="4"/>
        <v>2017</v>
      </c>
      <c r="E63" s="2317"/>
      <c r="F63" s="2317"/>
      <c r="G63" s="2317"/>
      <c r="H63" s="2317" t="s">
        <v>317</v>
      </c>
      <c r="I63" s="2317"/>
      <c r="J63" s="2317"/>
      <c r="K63" s="2317"/>
      <c r="L63" s="2317"/>
      <c r="M63" s="2317"/>
      <c r="N63" s="2317"/>
      <c r="O63" s="2317"/>
      <c r="P63" s="2318">
        <v>60000</v>
      </c>
      <c r="Q63" s="2319"/>
      <c r="R63" s="2319"/>
      <c r="S63" s="2319"/>
      <c r="T63" s="2116">
        <f>ROUND(IPMT(($AA$3%+0.35%)/11,1,$D$219-$D$52+1,$P$220-(SUM($P$4:P62)))*-1,2)</f>
        <v>22650</v>
      </c>
      <c r="U63" s="2116"/>
      <c r="V63" s="2116"/>
      <c r="W63" s="2116"/>
      <c r="X63" s="777"/>
      <c r="Y63" s="2324">
        <f>SUM(T52:W63)</f>
        <v>281700</v>
      </c>
      <c r="Z63" s="2325"/>
      <c r="AA63" s="777"/>
    </row>
    <row r="64" spans="1:27">
      <c r="A64" s="2326">
        <v>13</v>
      </c>
      <c r="B64" s="2327"/>
      <c r="C64" s="2327"/>
      <c r="D64" s="2328">
        <f>D52+1</f>
        <v>2018</v>
      </c>
      <c r="E64" s="2328"/>
      <c r="F64" s="2328"/>
      <c r="G64" s="2328"/>
      <c r="H64" s="2328" t="s">
        <v>306</v>
      </c>
      <c r="I64" s="2328"/>
      <c r="J64" s="2328"/>
      <c r="K64" s="2328"/>
      <c r="L64" s="2328"/>
      <c r="M64" s="2328"/>
      <c r="N64" s="2328"/>
      <c r="O64" s="2328"/>
      <c r="P64" s="2329">
        <v>60000</v>
      </c>
      <c r="Q64" s="2330"/>
      <c r="R64" s="2330"/>
      <c r="S64" s="2330"/>
      <c r="T64" s="2331">
        <f>ROUND(IPMT(($AA$3%+0.35%)/11,1,$D$219-$D$52+1,$P$220-(SUM($P$4:P63)))*-1,2)</f>
        <v>22500</v>
      </c>
      <c r="U64" s="2331"/>
      <c r="V64" s="2331"/>
      <c r="W64" s="2331"/>
      <c r="X64" s="777"/>
      <c r="Y64" s="781"/>
      <c r="Z64" s="781"/>
      <c r="AA64" s="777"/>
    </row>
    <row r="65" spans="1:27">
      <c r="A65" s="2112">
        <v>14</v>
      </c>
      <c r="B65" s="2313"/>
      <c r="C65" s="2313"/>
      <c r="D65" s="2317">
        <f>$D$64</f>
        <v>2018</v>
      </c>
      <c r="E65" s="2317"/>
      <c r="F65" s="2317"/>
      <c r="G65" s="2317"/>
      <c r="H65" s="2317" t="s">
        <v>307</v>
      </c>
      <c r="I65" s="2317"/>
      <c r="J65" s="2317"/>
      <c r="K65" s="2317"/>
      <c r="L65" s="2317"/>
      <c r="M65" s="2317"/>
      <c r="N65" s="2317"/>
      <c r="O65" s="2317"/>
      <c r="P65" s="2318">
        <v>60000</v>
      </c>
      <c r="Q65" s="2319"/>
      <c r="R65" s="2319"/>
      <c r="S65" s="2319"/>
      <c r="T65" s="2116">
        <f>ROUND(IPMT(($AA$3%+0.35%)/11,1,$D$219-$D$64+1,$P$220-(SUM($P$4:P64)))*-1,2)</f>
        <v>22350</v>
      </c>
      <c r="U65" s="2116"/>
      <c r="V65" s="2116"/>
      <c r="W65" s="2116"/>
      <c r="X65" s="777"/>
      <c r="Y65" s="781"/>
      <c r="Z65" s="781"/>
      <c r="AA65" s="777"/>
    </row>
    <row r="66" spans="1:27">
      <c r="A66" s="2112">
        <v>15</v>
      </c>
      <c r="B66" s="2313"/>
      <c r="C66" s="2313"/>
      <c r="D66" s="2317">
        <f t="shared" ref="D66:D75" si="5">$D$64</f>
        <v>2018</v>
      </c>
      <c r="E66" s="2317"/>
      <c r="F66" s="2317"/>
      <c r="G66" s="2317"/>
      <c r="H66" s="2317" t="s">
        <v>308</v>
      </c>
      <c r="I66" s="2317"/>
      <c r="J66" s="2317"/>
      <c r="K66" s="2317"/>
      <c r="L66" s="2317"/>
      <c r="M66" s="2317"/>
      <c r="N66" s="2317"/>
      <c r="O66" s="2317"/>
      <c r="P66" s="2318">
        <v>60000</v>
      </c>
      <c r="Q66" s="2319"/>
      <c r="R66" s="2319"/>
      <c r="S66" s="2319"/>
      <c r="T66" s="2116">
        <f>ROUND(IPMT(($AA$3%+0.35%)/11,1,$D$219-$D$64+1,$P$220-(SUM($P$4:P65)))*-1,2)</f>
        <v>22200</v>
      </c>
      <c r="U66" s="2116"/>
      <c r="V66" s="2116"/>
      <c r="W66" s="2116"/>
      <c r="X66" s="777"/>
      <c r="Y66" s="781"/>
      <c r="Z66" s="781"/>
      <c r="AA66" s="777"/>
    </row>
    <row r="67" spans="1:27">
      <c r="A67" s="2112">
        <v>16</v>
      </c>
      <c r="B67" s="2313"/>
      <c r="C67" s="2313"/>
      <c r="D67" s="2317">
        <f t="shared" si="5"/>
        <v>2018</v>
      </c>
      <c r="E67" s="2317"/>
      <c r="F67" s="2317"/>
      <c r="G67" s="2317"/>
      <c r="H67" s="2317" t="s">
        <v>309</v>
      </c>
      <c r="I67" s="2317"/>
      <c r="J67" s="2317"/>
      <c r="K67" s="2317"/>
      <c r="L67" s="2317"/>
      <c r="M67" s="2317"/>
      <c r="N67" s="2317"/>
      <c r="O67" s="2317"/>
      <c r="P67" s="2318">
        <v>60000</v>
      </c>
      <c r="Q67" s="2319"/>
      <c r="R67" s="2319"/>
      <c r="S67" s="2319"/>
      <c r="T67" s="2116">
        <f>ROUND(IPMT(($AA$3%+0.35%)/11,1,$D$219-$D$64+1,$P$220-(SUM($P$4:P66)))*-1,2)</f>
        <v>22050</v>
      </c>
      <c r="U67" s="2116"/>
      <c r="V67" s="2116"/>
      <c r="W67" s="2116"/>
      <c r="X67" s="777"/>
      <c r="Y67" s="781"/>
      <c r="Z67" s="781"/>
      <c r="AA67" s="777"/>
    </row>
    <row r="68" spans="1:27">
      <c r="A68" s="2112">
        <v>17</v>
      </c>
      <c r="B68" s="2313"/>
      <c r="C68" s="2313"/>
      <c r="D68" s="2317">
        <f t="shared" si="5"/>
        <v>2018</v>
      </c>
      <c r="E68" s="2317"/>
      <c r="F68" s="2317"/>
      <c r="G68" s="2317"/>
      <c r="H68" s="2317" t="s">
        <v>310</v>
      </c>
      <c r="I68" s="2317"/>
      <c r="J68" s="2317"/>
      <c r="K68" s="2317"/>
      <c r="L68" s="2317"/>
      <c r="M68" s="2317"/>
      <c r="N68" s="2317"/>
      <c r="O68" s="2317"/>
      <c r="P68" s="2318">
        <v>60000</v>
      </c>
      <c r="Q68" s="2319"/>
      <c r="R68" s="2319"/>
      <c r="S68" s="2319"/>
      <c r="T68" s="2116">
        <f>ROUND(IPMT(($AA$3%+0.35%)/11,1,$D$219-$D$64+1,$P$220-(SUM($P$4:P67)))*-1,2)</f>
        <v>21900</v>
      </c>
      <c r="U68" s="2116"/>
      <c r="V68" s="2116"/>
      <c r="W68" s="2116"/>
      <c r="X68" s="777"/>
      <c r="Y68" s="781"/>
      <c r="Z68" s="781"/>
      <c r="AA68" s="777"/>
    </row>
    <row r="69" spans="1:27">
      <c r="A69" s="2112">
        <v>18</v>
      </c>
      <c r="B69" s="2313"/>
      <c r="C69" s="2313"/>
      <c r="D69" s="2317">
        <f t="shared" si="5"/>
        <v>2018</v>
      </c>
      <c r="E69" s="2317"/>
      <c r="F69" s="2317"/>
      <c r="G69" s="2317"/>
      <c r="H69" s="2317" t="s">
        <v>311</v>
      </c>
      <c r="I69" s="2317"/>
      <c r="J69" s="2317"/>
      <c r="K69" s="2317"/>
      <c r="L69" s="2317"/>
      <c r="M69" s="2317"/>
      <c r="N69" s="2317"/>
      <c r="O69" s="2317"/>
      <c r="P69" s="2318">
        <v>60000</v>
      </c>
      <c r="Q69" s="2319"/>
      <c r="R69" s="2319"/>
      <c r="S69" s="2319"/>
      <c r="T69" s="2116">
        <f>ROUND(IPMT(($AA$3%+0.35%)/11,1,$D$219-$D$64+1,$P$220-(SUM($P$4:P68)))*-1,2)</f>
        <v>21750</v>
      </c>
      <c r="U69" s="2116"/>
      <c r="V69" s="2116"/>
      <c r="W69" s="2116"/>
      <c r="X69" s="777"/>
      <c r="Y69" s="781"/>
      <c r="Z69" s="781"/>
      <c r="AA69" s="777"/>
    </row>
    <row r="70" spans="1:27">
      <c r="A70" s="2112">
        <v>19</v>
      </c>
      <c r="B70" s="2313"/>
      <c r="C70" s="2313"/>
      <c r="D70" s="2317">
        <f t="shared" si="5"/>
        <v>2018</v>
      </c>
      <c r="E70" s="2317"/>
      <c r="F70" s="2317"/>
      <c r="G70" s="2317"/>
      <c r="H70" s="2317" t="s">
        <v>312</v>
      </c>
      <c r="I70" s="2317"/>
      <c r="J70" s="2317"/>
      <c r="K70" s="2317"/>
      <c r="L70" s="2317"/>
      <c r="M70" s="2317"/>
      <c r="N70" s="2317"/>
      <c r="O70" s="2317"/>
      <c r="P70" s="2318">
        <v>60000</v>
      </c>
      <c r="Q70" s="2319"/>
      <c r="R70" s="2319"/>
      <c r="S70" s="2319"/>
      <c r="T70" s="2116">
        <f>ROUND(IPMT(($AA$3%+0.35%)/11,1,$D$219-$D$64+1,$P$220-(SUM($P$4:P69)))*-1,2)</f>
        <v>21600</v>
      </c>
      <c r="U70" s="2116"/>
      <c r="V70" s="2116"/>
      <c r="W70" s="2116"/>
      <c r="X70" s="777"/>
      <c r="Y70" s="781"/>
      <c r="Z70" s="781"/>
      <c r="AA70" s="777"/>
    </row>
    <row r="71" spans="1:27">
      <c r="A71" s="2112">
        <v>20</v>
      </c>
      <c r="B71" s="2313"/>
      <c r="C71" s="2313"/>
      <c r="D71" s="2317">
        <f t="shared" si="5"/>
        <v>2018</v>
      </c>
      <c r="E71" s="2317"/>
      <c r="F71" s="2317"/>
      <c r="G71" s="2317"/>
      <c r="H71" s="2317" t="s">
        <v>313</v>
      </c>
      <c r="I71" s="2317"/>
      <c r="J71" s="2317"/>
      <c r="K71" s="2317"/>
      <c r="L71" s="2317"/>
      <c r="M71" s="2317"/>
      <c r="N71" s="2317"/>
      <c r="O71" s="2317"/>
      <c r="P71" s="2318">
        <v>60000</v>
      </c>
      <c r="Q71" s="2319"/>
      <c r="R71" s="2319"/>
      <c r="S71" s="2319"/>
      <c r="T71" s="2116">
        <f>ROUND(IPMT(($AA$3%+0.35%)/11,1,$D$219-$D$64+1,$P$220-(SUM($P$4:P70)))*-1,2)</f>
        <v>21450</v>
      </c>
      <c r="U71" s="2116"/>
      <c r="V71" s="2116"/>
      <c r="W71" s="2116"/>
      <c r="X71" s="777"/>
      <c r="Y71" s="781"/>
      <c r="Z71" s="781"/>
      <c r="AA71" s="777"/>
    </row>
    <row r="72" spans="1:27">
      <c r="A72" s="2112">
        <v>21</v>
      </c>
      <c r="B72" s="2313"/>
      <c r="C72" s="2313"/>
      <c r="D72" s="2317">
        <f t="shared" si="5"/>
        <v>2018</v>
      </c>
      <c r="E72" s="2317"/>
      <c r="F72" s="2317"/>
      <c r="G72" s="2317"/>
      <c r="H72" s="2317" t="s">
        <v>314</v>
      </c>
      <c r="I72" s="2317"/>
      <c r="J72" s="2317"/>
      <c r="K72" s="2317"/>
      <c r="L72" s="2317"/>
      <c r="M72" s="2317"/>
      <c r="N72" s="2317"/>
      <c r="O72" s="2317"/>
      <c r="P72" s="2318">
        <v>60000</v>
      </c>
      <c r="Q72" s="2319"/>
      <c r="R72" s="2319"/>
      <c r="S72" s="2319"/>
      <c r="T72" s="2116">
        <f>ROUND(IPMT(($AA$3%+0.35%)/11,1,$D$219-$D$64+1,$P$220-(SUM($P$4:P71)))*-1,2)</f>
        <v>21300</v>
      </c>
      <c r="U72" s="2116"/>
      <c r="V72" s="2116"/>
      <c r="W72" s="2116"/>
      <c r="X72" s="777"/>
      <c r="Y72" s="781"/>
      <c r="Z72" s="781"/>
      <c r="AA72" s="777"/>
    </row>
    <row r="73" spans="1:27">
      <c r="A73" s="2112">
        <v>22</v>
      </c>
      <c r="B73" s="2313"/>
      <c r="C73" s="2313"/>
      <c r="D73" s="2317">
        <f t="shared" si="5"/>
        <v>2018</v>
      </c>
      <c r="E73" s="2317"/>
      <c r="F73" s="2317"/>
      <c r="G73" s="2317"/>
      <c r="H73" s="2317" t="s">
        <v>315</v>
      </c>
      <c r="I73" s="2317"/>
      <c r="J73" s="2317"/>
      <c r="K73" s="2317"/>
      <c r="L73" s="2317"/>
      <c r="M73" s="2317"/>
      <c r="N73" s="2317"/>
      <c r="O73" s="2317"/>
      <c r="P73" s="2318">
        <v>60000</v>
      </c>
      <c r="Q73" s="2319"/>
      <c r="R73" s="2319"/>
      <c r="S73" s="2319"/>
      <c r="T73" s="2116">
        <f>ROUND(IPMT(($AA$3%+0.35%)/11,1,$D$219-$D$64+1,$P$220-(SUM($P$4:P72)))*-1,2)</f>
        <v>21150</v>
      </c>
      <c r="U73" s="2116"/>
      <c r="V73" s="2116"/>
      <c r="W73" s="2116"/>
      <c r="X73" s="777"/>
      <c r="Y73" s="781"/>
      <c r="Z73" s="781"/>
      <c r="AA73" s="777"/>
    </row>
    <row r="74" spans="1:27">
      <c r="A74" s="2112">
        <v>23</v>
      </c>
      <c r="B74" s="2313"/>
      <c r="C74" s="2313"/>
      <c r="D74" s="2317">
        <f t="shared" si="5"/>
        <v>2018</v>
      </c>
      <c r="E74" s="2317"/>
      <c r="F74" s="2317"/>
      <c r="G74" s="2317"/>
      <c r="H74" s="2317" t="s">
        <v>316</v>
      </c>
      <c r="I74" s="2317"/>
      <c r="J74" s="2317"/>
      <c r="K74" s="2317"/>
      <c r="L74" s="2317"/>
      <c r="M74" s="2317"/>
      <c r="N74" s="2317"/>
      <c r="O74" s="2317"/>
      <c r="P74" s="2318">
        <v>60000</v>
      </c>
      <c r="Q74" s="2319"/>
      <c r="R74" s="2319"/>
      <c r="S74" s="2319"/>
      <c r="T74" s="2116">
        <f>ROUND(IPMT(($AA$3%+0.35%)/11,1,$D$219-$D$64+1,$P$220-(SUM($P$4:P73)))*-1,2)</f>
        <v>21000</v>
      </c>
      <c r="U74" s="2116"/>
      <c r="V74" s="2116"/>
      <c r="W74" s="2116"/>
      <c r="X74" s="777"/>
      <c r="Y74" s="781"/>
      <c r="Z74" s="781"/>
      <c r="AA74" s="777"/>
    </row>
    <row r="75" spans="1:27">
      <c r="A75" s="2112">
        <v>24</v>
      </c>
      <c r="B75" s="2313"/>
      <c r="C75" s="2313"/>
      <c r="D75" s="2317">
        <f t="shared" si="5"/>
        <v>2018</v>
      </c>
      <c r="E75" s="2317"/>
      <c r="F75" s="2317"/>
      <c r="G75" s="2317"/>
      <c r="H75" s="2317" t="s">
        <v>317</v>
      </c>
      <c r="I75" s="2317"/>
      <c r="J75" s="2317"/>
      <c r="K75" s="2317"/>
      <c r="L75" s="2317"/>
      <c r="M75" s="2317"/>
      <c r="N75" s="2317"/>
      <c r="O75" s="2317"/>
      <c r="P75" s="2318">
        <v>60000</v>
      </c>
      <c r="Q75" s="2319"/>
      <c r="R75" s="2319"/>
      <c r="S75" s="2319"/>
      <c r="T75" s="2116">
        <f>ROUND(IPMT(($AA$3%+0.35%)/11,1,$D$219-$D$64+1,$P$220-(SUM($P$4:P74)))*-1,2)</f>
        <v>20850</v>
      </c>
      <c r="U75" s="2116"/>
      <c r="V75" s="2116"/>
      <c r="W75" s="2116"/>
      <c r="X75" s="777"/>
      <c r="Y75" s="2324">
        <f>SUM(T64:W75)</f>
        <v>260100</v>
      </c>
      <c r="Z75" s="2325"/>
      <c r="AA75" s="777"/>
    </row>
    <row r="76" spans="1:27">
      <c r="A76" s="2326">
        <v>13</v>
      </c>
      <c r="B76" s="2327"/>
      <c r="C76" s="2327"/>
      <c r="D76" s="2328">
        <f>D64+1</f>
        <v>2019</v>
      </c>
      <c r="E76" s="2328"/>
      <c r="F76" s="2328"/>
      <c r="G76" s="2328"/>
      <c r="H76" s="2328" t="s">
        <v>306</v>
      </c>
      <c r="I76" s="2328"/>
      <c r="J76" s="2328"/>
      <c r="K76" s="2328"/>
      <c r="L76" s="2328"/>
      <c r="M76" s="2328"/>
      <c r="N76" s="2328"/>
      <c r="O76" s="2328"/>
      <c r="P76" s="2329">
        <v>60000</v>
      </c>
      <c r="Q76" s="2330"/>
      <c r="R76" s="2330"/>
      <c r="S76" s="2330"/>
      <c r="T76" s="2331">
        <f>ROUND(IPMT(($AA$3%+0.35%)/11,1,$D$219-$D$64+1,$P$220-(SUM($P$4:P75)))*-1,2)</f>
        <v>20700</v>
      </c>
      <c r="U76" s="2331"/>
      <c r="V76" s="2331"/>
      <c r="W76" s="2331"/>
      <c r="X76" s="777"/>
      <c r="Y76" s="781"/>
      <c r="Z76" s="781"/>
      <c r="AA76" s="777"/>
    </row>
    <row r="77" spans="1:27">
      <c r="A77" s="2112">
        <v>14</v>
      </c>
      <c r="B77" s="2313"/>
      <c r="C77" s="2313"/>
      <c r="D77" s="2317">
        <f>$D$76</f>
        <v>2019</v>
      </c>
      <c r="E77" s="2317"/>
      <c r="F77" s="2317"/>
      <c r="G77" s="2317"/>
      <c r="H77" s="2317" t="s">
        <v>307</v>
      </c>
      <c r="I77" s="2317"/>
      <c r="J77" s="2317"/>
      <c r="K77" s="2317"/>
      <c r="L77" s="2317"/>
      <c r="M77" s="2317"/>
      <c r="N77" s="2317"/>
      <c r="O77" s="2317"/>
      <c r="P77" s="2318">
        <v>60000</v>
      </c>
      <c r="Q77" s="2319"/>
      <c r="R77" s="2319"/>
      <c r="S77" s="2319"/>
      <c r="T77" s="2116">
        <f>ROUND(IPMT(($AA$3%+0.35%)/11,1,$D$219-$D$76+1,$P$220-(SUM($P$4:P76)))*-1,2)</f>
        <v>20550</v>
      </c>
      <c r="U77" s="2116"/>
      <c r="V77" s="2116"/>
      <c r="W77" s="2116"/>
      <c r="X77" s="777"/>
      <c r="Y77" s="781"/>
      <c r="Z77" s="781"/>
      <c r="AA77" s="777"/>
    </row>
    <row r="78" spans="1:27">
      <c r="A78" s="2112">
        <v>15</v>
      </c>
      <c r="B78" s="2313"/>
      <c r="C78" s="2313"/>
      <c r="D78" s="2317">
        <f t="shared" ref="D78:D87" si="6">$D$76</f>
        <v>2019</v>
      </c>
      <c r="E78" s="2317"/>
      <c r="F78" s="2317"/>
      <c r="G78" s="2317"/>
      <c r="H78" s="2317" t="s">
        <v>308</v>
      </c>
      <c r="I78" s="2317"/>
      <c r="J78" s="2317"/>
      <c r="K78" s="2317"/>
      <c r="L78" s="2317"/>
      <c r="M78" s="2317"/>
      <c r="N78" s="2317"/>
      <c r="O78" s="2317"/>
      <c r="P78" s="2318">
        <v>60000</v>
      </c>
      <c r="Q78" s="2319"/>
      <c r="R78" s="2319"/>
      <c r="S78" s="2319"/>
      <c r="T78" s="2116">
        <f>ROUND(IPMT(($AA$3%+0.35%)/11,1,$D$219-$D$76+1,$P$220-(SUM($P$4:P77)))*-1,2)</f>
        <v>20400</v>
      </c>
      <c r="U78" s="2116"/>
      <c r="V78" s="2116"/>
      <c r="W78" s="2116"/>
      <c r="X78" s="777"/>
      <c r="Y78" s="781"/>
      <c r="Z78" s="781"/>
      <c r="AA78" s="777"/>
    </row>
    <row r="79" spans="1:27">
      <c r="A79" s="2112">
        <v>16</v>
      </c>
      <c r="B79" s="2313"/>
      <c r="C79" s="2313"/>
      <c r="D79" s="2317">
        <f t="shared" si="6"/>
        <v>2019</v>
      </c>
      <c r="E79" s="2317"/>
      <c r="F79" s="2317"/>
      <c r="G79" s="2317"/>
      <c r="H79" s="2317" t="s">
        <v>309</v>
      </c>
      <c r="I79" s="2317"/>
      <c r="J79" s="2317"/>
      <c r="K79" s="2317"/>
      <c r="L79" s="2317"/>
      <c r="M79" s="2317"/>
      <c r="N79" s="2317"/>
      <c r="O79" s="2317"/>
      <c r="P79" s="2318">
        <v>60000</v>
      </c>
      <c r="Q79" s="2319"/>
      <c r="R79" s="2319"/>
      <c r="S79" s="2319"/>
      <c r="T79" s="2116">
        <f>ROUND(IPMT(($AA$3%+0.35%)/11,1,$D$219-$D$76+1,$P$220-(SUM($P$4:P78)))*-1,2)</f>
        <v>20250</v>
      </c>
      <c r="U79" s="2116"/>
      <c r="V79" s="2116"/>
      <c r="W79" s="2116"/>
      <c r="X79" s="777"/>
      <c r="Y79" s="781"/>
      <c r="Z79" s="781"/>
      <c r="AA79" s="777"/>
    </row>
    <row r="80" spans="1:27">
      <c r="A80" s="2112">
        <v>17</v>
      </c>
      <c r="B80" s="2313"/>
      <c r="C80" s="2313"/>
      <c r="D80" s="2317">
        <f t="shared" si="6"/>
        <v>2019</v>
      </c>
      <c r="E80" s="2317"/>
      <c r="F80" s="2317"/>
      <c r="G80" s="2317"/>
      <c r="H80" s="2317" t="s">
        <v>310</v>
      </c>
      <c r="I80" s="2317"/>
      <c r="J80" s="2317"/>
      <c r="K80" s="2317"/>
      <c r="L80" s="2317"/>
      <c r="M80" s="2317"/>
      <c r="N80" s="2317"/>
      <c r="O80" s="2317"/>
      <c r="P80" s="2318">
        <v>60000</v>
      </c>
      <c r="Q80" s="2319"/>
      <c r="R80" s="2319"/>
      <c r="S80" s="2319"/>
      <c r="T80" s="2116">
        <f>ROUND(IPMT(($AA$3%+0.35%)/11,1,$D$219-$D$76+1,$P$220-(SUM($P$4:P79)))*-1,2)</f>
        <v>20100</v>
      </c>
      <c r="U80" s="2116"/>
      <c r="V80" s="2116"/>
      <c r="W80" s="2116"/>
      <c r="X80" s="777"/>
      <c r="Y80" s="781"/>
      <c r="Z80" s="781"/>
      <c r="AA80" s="777"/>
    </row>
    <row r="81" spans="1:27">
      <c r="A81" s="2112">
        <v>18</v>
      </c>
      <c r="B81" s="2313"/>
      <c r="C81" s="2313"/>
      <c r="D81" s="2317">
        <f t="shared" si="6"/>
        <v>2019</v>
      </c>
      <c r="E81" s="2317"/>
      <c r="F81" s="2317"/>
      <c r="G81" s="2317"/>
      <c r="H81" s="2317" t="s">
        <v>311</v>
      </c>
      <c r="I81" s="2317"/>
      <c r="J81" s="2317"/>
      <c r="K81" s="2317"/>
      <c r="L81" s="2317"/>
      <c r="M81" s="2317"/>
      <c r="N81" s="2317"/>
      <c r="O81" s="2317"/>
      <c r="P81" s="2318">
        <v>60000</v>
      </c>
      <c r="Q81" s="2319"/>
      <c r="R81" s="2319"/>
      <c r="S81" s="2319"/>
      <c r="T81" s="2116">
        <f>ROUND(IPMT(($AA$3%+0.35%)/11,1,$D$219-$D$76+1,$P$220-(SUM($P$4:P80)))*-1,2)</f>
        <v>19950</v>
      </c>
      <c r="U81" s="2116"/>
      <c r="V81" s="2116"/>
      <c r="W81" s="2116"/>
      <c r="X81" s="777"/>
      <c r="Y81" s="781"/>
      <c r="Z81" s="781"/>
      <c r="AA81" s="777"/>
    </row>
    <row r="82" spans="1:27">
      <c r="A82" s="2112">
        <v>19</v>
      </c>
      <c r="B82" s="2313"/>
      <c r="C82" s="2313"/>
      <c r="D82" s="2317">
        <f t="shared" si="6"/>
        <v>2019</v>
      </c>
      <c r="E82" s="2317"/>
      <c r="F82" s="2317"/>
      <c r="G82" s="2317"/>
      <c r="H82" s="2317" t="s">
        <v>312</v>
      </c>
      <c r="I82" s="2317"/>
      <c r="J82" s="2317"/>
      <c r="K82" s="2317"/>
      <c r="L82" s="2317"/>
      <c r="M82" s="2317"/>
      <c r="N82" s="2317"/>
      <c r="O82" s="2317"/>
      <c r="P82" s="2318">
        <v>60000</v>
      </c>
      <c r="Q82" s="2319"/>
      <c r="R82" s="2319"/>
      <c r="S82" s="2319"/>
      <c r="T82" s="2116">
        <f>ROUND(IPMT(($AA$3%+0.35%)/11,1,$D$219-$D$76+1,$P$220-(SUM($P$4:P81)))*-1,2)</f>
        <v>19800</v>
      </c>
      <c r="U82" s="2116"/>
      <c r="V82" s="2116"/>
      <c r="W82" s="2116"/>
      <c r="X82" s="777"/>
      <c r="Y82" s="781"/>
      <c r="Z82" s="781"/>
      <c r="AA82" s="777"/>
    </row>
    <row r="83" spans="1:27">
      <c r="A83" s="2112">
        <v>20</v>
      </c>
      <c r="B83" s="2313"/>
      <c r="C83" s="2313"/>
      <c r="D83" s="2317">
        <f t="shared" si="6"/>
        <v>2019</v>
      </c>
      <c r="E83" s="2317"/>
      <c r="F83" s="2317"/>
      <c r="G83" s="2317"/>
      <c r="H83" s="2317" t="s">
        <v>313</v>
      </c>
      <c r="I83" s="2317"/>
      <c r="J83" s="2317"/>
      <c r="K83" s="2317"/>
      <c r="L83" s="2317"/>
      <c r="M83" s="2317"/>
      <c r="N83" s="2317"/>
      <c r="O83" s="2317"/>
      <c r="P83" s="2318">
        <v>60000</v>
      </c>
      <c r="Q83" s="2319"/>
      <c r="R83" s="2319"/>
      <c r="S83" s="2319"/>
      <c r="T83" s="2116">
        <f>ROUND(IPMT(($AA$3%+0.35%)/11,1,$D$219-$D$76+1,$P$220-(SUM($P$4:P82)))*-1,2)</f>
        <v>19650</v>
      </c>
      <c r="U83" s="2116"/>
      <c r="V83" s="2116"/>
      <c r="W83" s="2116"/>
      <c r="X83" s="777"/>
      <c r="Y83" s="781"/>
      <c r="Z83" s="781"/>
      <c r="AA83" s="777"/>
    </row>
    <row r="84" spans="1:27">
      <c r="A84" s="2112">
        <v>21</v>
      </c>
      <c r="B84" s="2313"/>
      <c r="C84" s="2313"/>
      <c r="D84" s="2317">
        <f t="shared" si="6"/>
        <v>2019</v>
      </c>
      <c r="E84" s="2317"/>
      <c r="F84" s="2317"/>
      <c r="G84" s="2317"/>
      <c r="H84" s="2317" t="s">
        <v>314</v>
      </c>
      <c r="I84" s="2317"/>
      <c r="J84" s="2317"/>
      <c r="K84" s="2317"/>
      <c r="L84" s="2317"/>
      <c r="M84" s="2317"/>
      <c r="N84" s="2317"/>
      <c r="O84" s="2317"/>
      <c r="P84" s="2318">
        <v>60000</v>
      </c>
      <c r="Q84" s="2319"/>
      <c r="R84" s="2319"/>
      <c r="S84" s="2319"/>
      <c r="T84" s="2116">
        <f>ROUND(IPMT(($AA$3%+0.35%)/11,1,$D$219-$D$76+1,$P$220-(SUM($P$4:P83)))*-1,2)</f>
        <v>19500</v>
      </c>
      <c r="U84" s="2116"/>
      <c r="V84" s="2116"/>
      <c r="W84" s="2116"/>
      <c r="X84" s="777"/>
      <c r="Y84" s="781"/>
      <c r="Z84" s="781"/>
      <c r="AA84" s="777"/>
    </row>
    <row r="85" spans="1:27">
      <c r="A85" s="2112">
        <v>22</v>
      </c>
      <c r="B85" s="2313"/>
      <c r="C85" s="2313"/>
      <c r="D85" s="2317">
        <f t="shared" si="6"/>
        <v>2019</v>
      </c>
      <c r="E85" s="2317"/>
      <c r="F85" s="2317"/>
      <c r="G85" s="2317"/>
      <c r="H85" s="2317" t="s">
        <v>315</v>
      </c>
      <c r="I85" s="2317"/>
      <c r="J85" s="2317"/>
      <c r="K85" s="2317"/>
      <c r="L85" s="2317"/>
      <c r="M85" s="2317"/>
      <c r="N85" s="2317"/>
      <c r="O85" s="2317"/>
      <c r="P85" s="2318">
        <v>60000</v>
      </c>
      <c r="Q85" s="2319"/>
      <c r="R85" s="2319"/>
      <c r="S85" s="2319"/>
      <c r="T85" s="2116">
        <f>ROUND(IPMT(($AA$3%+0.35%)/11,1,$D$219-$D$76+1,$P$220-(SUM($P$4:P84)))*-1,2)</f>
        <v>19350</v>
      </c>
      <c r="U85" s="2116"/>
      <c r="V85" s="2116"/>
      <c r="W85" s="2116"/>
      <c r="X85" s="777"/>
      <c r="Y85" s="781"/>
      <c r="Z85" s="781"/>
      <c r="AA85" s="777"/>
    </row>
    <row r="86" spans="1:27">
      <c r="A86" s="2112">
        <v>23</v>
      </c>
      <c r="B86" s="2313"/>
      <c r="C86" s="2313"/>
      <c r="D86" s="2317">
        <f t="shared" si="6"/>
        <v>2019</v>
      </c>
      <c r="E86" s="2317"/>
      <c r="F86" s="2317"/>
      <c r="G86" s="2317"/>
      <c r="H86" s="2317" t="s">
        <v>316</v>
      </c>
      <c r="I86" s="2317"/>
      <c r="J86" s="2317"/>
      <c r="K86" s="2317"/>
      <c r="L86" s="2317"/>
      <c r="M86" s="2317"/>
      <c r="N86" s="2317"/>
      <c r="O86" s="2317"/>
      <c r="P86" s="2318">
        <v>60000</v>
      </c>
      <c r="Q86" s="2319"/>
      <c r="R86" s="2319"/>
      <c r="S86" s="2319"/>
      <c r="T86" s="2116">
        <f>ROUND(IPMT(($AA$3%+0.35%)/11,1,$D$219-$D$76+1,$P$220-(SUM($P$4:P85)))*-1,2)</f>
        <v>19200</v>
      </c>
      <c r="U86" s="2116"/>
      <c r="V86" s="2116"/>
      <c r="W86" s="2116"/>
      <c r="X86" s="777"/>
      <c r="Y86" s="781"/>
      <c r="Z86" s="781"/>
      <c r="AA86" s="777"/>
    </row>
    <row r="87" spans="1:27">
      <c r="A87" s="2112">
        <v>24</v>
      </c>
      <c r="B87" s="2313"/>
      <c r="C87" s="2313"/>
      <c r="D87" s="2317">
        <f t="shared" si="6"/>
        <v>2019</v>
      </c>
      <c r="E87" s="2317"/>
      <c r="F87" s="2317"/>
      <c r="G87" s="2317"/>
      <c r="H87" s="2317" t="s">
        <v>317</v>
      </c>
      <c r="I87" s="2317"/>
      <c r="J87" s="2317"/>
      <c r="K87" s="2317"/>
      <c r="L87" s="2317"/>
      <c r="M87" s="2317"/>
      <c r="N87" s="2317"/>
      <c r="O87" s="2317"/>
      <c r="P87" s="2318">
        <v>60000</v>
      </c>
      <c r="Q87" s="2319"/>
      <c r="R87" s="2319"/>
      <c r="S87" s="2319"/>
      <c r="T87" s="2116">
        <f>ROUND(IPMT(($AA$3%+0.35%)/11,1,$D$219-$D$76+1,$P$220-(SUM($P$4:P86)))*-1,2)</f>
        <v>19050</v>
      </c>
      <c r="U87" s="2116"/>
      <c r="V87" s="2116"/>
      <c r="W87" s="2116"/>
      <c r="X87" s="777"/>
      <c r="Y87" s="2324">
        <f>SUM(T76:W87)</f>
        <v>238500</v>
      </c>
      <c r="Z87" s="2325"/>
      <c r="AA87" s="777"/>
    </row>
    <row r="88" spans="1:27">
      <c r="A88" s="2326">
        <v>13</v>
      </c>
      <c r="B88" s="2327"/>
      <c r="C88" s="2327"/>
      <c r="D88" s="2328">
        <f>D76+1</f>
        <v>2020</v>
      </c>
      <c r="E88" s="2328"/>
      <c r="F88" s="2328"/>
      <c r="G88" s="2328"/>
      <c r="H88" s="2328" t="s">
        <v>306</v>
      </c>
      <c r="I88" s="2328"/>
      <c r="J88" s="2328"/>
      <c r="K88" s="2328"/>
      <c r="L88" s="2328"/>
      <c r="M88" s="2328"/>
      <c r="N88" s="2328"/>
      <c r="O88" s="2328"/>
      <c r="P88" s="2329">
        <v>60000</v>
      </c>
      <c r="Q88" s="2330"/>
      <c r="R88" s="2330"/>
      <c r="S88" s="2330"/>
      <c r="T88" s="2331">
        <f>ROUND(IPMT(($AA$3%+0.35%)/11,1,$D$219-$D$76+1,$P$220-(SUM($P$4:P87)))*-1,2)</f>
        <v>18900</v>
      </c>
      <c r="U88" s="2331"/>
      <c r="V88" s="2331"/>
      <c r="W88" s="2331"/>
      <c r="X88" s="777"/>
      <c r="Y88" s="781"/>
      <c r="Z88" s="781"/>
      <c r="AA88" s="777"/>
    </row>
    <row r="89" spans="1:27">
      <c r="A89" s="2112">
        <v>14</v>
      </c>
      <c r="B89" s="2313"/>
      <c r="C89" s="2313"/>
      <c r="D89" s="2317">
        <f>$D$88</f>
        <v>2020</v>
      </c>
      <c r="E89" s="2317"/>
      <c r="F89" s="2317"/>
      <c r="G89" s="2317"/>
      <c r="H89" s="2317" t="s">
        <v>307</v>
      </c>
      <c r="I89" s="2317"/>
      <c r="J89" s="2317"/>
      <c r="K89" s="2317"/>
      <c r="L89" s="2317"/>
      <c r="M89" s="2317"/>
      <c r="N89" s="2317"/>
      <c r="O89" s="2317"/>
      <c r="P89" s="2318">
        <v>60000</v>
      </c>
      <c r="Q89" s="2319"/>
      <c r="R89" s="2319"/>
      <c r="S89" s="2319"/>
      <c r="T89" s="2116">
        <f>ROUND(IPMT(($AA$3%+0.35%)/11,1,$D$219-$D$88+1,$P$220-(SUM($P$4:P88)))*-1,2)</f>
        <v>18750</v>
      </c>
      <c r="U89" s="2116"/>
      <c r="V89" s="2116"/>
      <c r="W89" s="2116"/>
      <c r="X89" s="777"/>
      <c r="Y89" s="781"/>
      <c r="Z89" s="781"/>
      <c r="AA89" s="777"/>
    </row>
    <row r="90" spans="1:27">
      <c r="A90" s="2112">
        <v>15</v>
      </c>
      <c r="B90" s="2313"/>
      <c r="C90" s="2313"/>
      <c r="D90" s="2317">
        <f t="shared" ref="D90:D99" si="7">$D$88</f>
        <v>2020</v>
      </c>
      <c r="E90" s="2317"/>
      <c r="F90" s="2317"/>
      <c r="G90" s="2317"/>
      <c r="H90" s="2317" t="s">
        <v>308</v>
      </c>
      <c r="I90" s="2317"/>
      <c r="J90" s="2317"/>
      <c r="K90" s="2317"/>
      <c r="L90" s="2317"/>
      <c r="M90" s="2317"/>
      <c r="N90" s="2317"/>
      <c r="O90" s="2317"/>
      <c r="P90" s="2318">
        <v>60000</v>
      </c>
      <c r="Q90" s="2319"/>
      <c r="R90" s="2319"/>
      <c r="S90" s="2319"/>
      <c r="T90" s="2116">
        <f>ROUND(IPMT(($AA$3%+0.35%)/11,1,$D$219-$D$88+1,$P$220-(SUM($P$4:P89)))*-1,2)</f>
        <v>18600</v>
      </c>
      <c r="U90" s="2116"/>
      <c r="V90" s="2116"/>
      <c r="W90" s="2116"/>
      <c r="X90" s="777"/>
      <c r="Y90" s="781"/>
      <c r="Z90" s="781"/>
      <c r="AA90" s="777"/>
    </row>
    <row r="91" spans="1:27">
      <c r="A91" s="2112">
        <v>16</v>
      </c>
      <c r="B91" s="2313"/>
      <c r="C91" s="2313"/>
      <c r="D91" s="2317">
        <f t="shared" si="7"/>
        <v>2020</v>
      </c>
      <c r="E91" s="2317"/>
      <c r="F91" s="2317"/>
      <c r="G91" s="2317"/>
      <c r="H91" s="2317" t="s">
        <v>309</v>
      </c>
      <c r="I91" s="2317"/>
      <c r="J91" s="2317"/>
      <c r="K91" s="2317"/>
      <c r="L91" s="2317"/>
      <c r="M91" s="2317"/>
      <c r="N91" s="2317"/>
      <c r="O91" s="2317"/>
      <c r="P91" s="2318">
        <v>60000</v>
      </c>
      <c r="Q91" s="2319"/>
      <c r="R91" s="2319"/>
      <c r="S91" s="2319"/>
      <c r="T91" s="2116">
        <f>ROUND(IPMT(($AA$3%+0.35%)/11,1,$D$219-$D$88+1,$P$220-(SUM($P$4:P90)))*-1,2)</f>
        <v>18450</v>
      </c>
      <c r="U91" s="2116"/>
      <c r="V91" s="2116"/>
      <c r="W91" s="2116"/>
      <c r="X91" s="777"/>
      <c r="Y91" s="781"/>
      <c r="Z91" s="781"/>
      <c r="AA91" s="777"/>
    </row>
    <row r="92" spans="1:27">
      <c r="A92" s="2112">
        <v>17</v>
      </c>
      <c r="B92" s="2313"/>
      <c r="C92" s="2313"/>
      <c r="D92" s="2317">
        <f t="shared" si="7"/>
        <v>2020</v>
      </c>
      <c r="E92" s="2317"/>
      <c r="F92" s="2317"/>
      <c r="G92" s="2317"/>
      <c r="H92" s="2317" t="s">
        <v>310</v>
      </c>
      <c r="I92" s="2317"/>
      <c r="J92" s="2317"/>
      <c r="K92" s="2317"/>
      <c r="L92" s="2317"/>
      <c r="M92" s="2317"/>
      <c r="N92" s="2317"/>
      <c r="O92" s="2317"/>
      <c r="P92" s="2318">
        <v>60000</v>
      </c>
      <c r="Q92" s="2319"/>
      <c r="R92" s="2319"/>
      <c r="S92" s="2319"/>
      <c r="T92" s="2116">
        <f>ROUND(IPMT(($AA$3%+0.35%)/11,1,$D$219-$D$88+1,$P$220-(SUM($P$4:P91)))*-1,2)</f>
        <v>18300</v>
      </c>
      <c r="U92" s="2116"/>
      <c r="V92" s="2116"/>
      <c r="W92" s="2116"/>
      <c r="X92" s="777"/>
      <c r="Y92" s="781"/>
      <c r="Z92" s="781"/>
      <c r="AA92" s="777"/>
    </row>
    <row r="93" spans="1:27">
      <c r="A93" s="2112">
        <v>18</v>
      </c>
      <c r="B93" s="2313"/>
      <c r="C93" s="2313"/>
      <c r="D93" s="2317">
        <f t="shared" si="7"/>
        <v>2020</v>
      </c>
      <c r="E93" s="2317"/>
      <c r="F93" s="2317"/>
      <c r="G93" s="2317"/>
      <c r="H93" s="2317" t="s">
        <v>311</v>
      </c>
      <c r="I93" s="2317"/>
      <c r="J93" s="2317"/>
      <c r="K93" s="2317"/>
      <c r="L93" s="2317"/>
      <c r="M93" s="2317"/>
      <c r="N93" s="2317"/>
      <c r="O93" s="2317"/>
      <c r="P93" s="2318">
        <v>60000</v>
      </c>
      <c r="Q93" s="2319"/>
      <c r="R93" s="2319"/>
      <c r="S93" s="2319"/>
      <c r="T93" s="2116">
        <f>ROUND(IPMT(($AA$3%+0.35%)/11,1,$D$219-$D$88+1,$P$220-(SUM($P$4:P92)))*-1,2)</f>
        <v>18150</v>
      </c>
      <c r="U93" s="2116"/>
      <c r="V93" s="2116"/>
      <c r="W93" s="2116"/>
      <c r="X93" s="777"/>
      <c r="Y93" s="781"/>
      <c r="Z93" s="781"/>
      <c r="AA93" s="777"/>
    </row>
    <row r="94" spans="1:27">
      <c r="A94" s="2112">
        <v>19</v>
      </c>
      <c r="B94" s="2313"/>
      <c r="C94" s="2313"/>
      <c r="D94" s="2317">
        <f t="shared" si="7"/>
        <v>2020</v>
      </c>
      <c r="E94" s="2317"/>
      <c r="F94" s="2317"/>
      <c r="G94" s="2317"/>
      <c r="H94" s="2317" t="s">
        <v>312</v>
      </c>
      <c r="I94" s="2317"/>
      <c r="J94" s="2317"/>
      <c r="K94" s="2317"/>
      <c r="L94" s="2317"/>
      <c r="M94" s="2317"/>
      <c r="N94" s="2317"/>
      <c r="O94" s="2317"/>
      <c r="P94" s="2318">
        <v>60000</v>
      </c>
      <c r="Q94" s="2319"/>
      <c r="R94" s="2319"/>
      <c r="S94" s="2319"/>
      <c r="T94" s="2116">
        <f>ROUND(IPMT(($AA$3%+0.35%)/11,1,$D$219-$D$88+1,$P$220-(SUM($P$4:P93)))*-1,2)</f>
        <v>18000</v>
      </c>
      <c r="U94" s="2116"/>
      <c r="V94" s="2116"/>
      <c r="W94" s="2116"/>
      <c r="X94" s="777"/>
      <c r="Y94" s="781"/>
      <c r="Z94" s="781"/>
      <c r="AA94" s="777"/>
    </row>
    <row r="95" spans="1:27">
      <c r="A95" s="2112">
        <v>20</v>
      </c>
      <c r="B95" s="2313"/>
      <c r="C95" s="2313"/>
      <c r="D95" s="2317">
        <f t="shared" si="7"/>
        <v>2020</v>
      </c>
      <c r="E95" s="2317"/>
      <c r="F95" s="2317"/>
      <c r="G95" s="2317"/>
      <c r="H95" s="2317" t="s">
        <v>313</v>
      </c>
      <c r="I95" s="2317"/>
      <c r="J95" s="2317"/>
      <c r="K95" s="2317"/>
      <c r="L95" s="2317"/>
      <c r="M95" s="2317"/>
      <c r="N95" s="2317"/>
      <c r="O95" s="2317"/>
      <c r="P95" s="2318">
        <v>60000</v>
      </c>
      <c r="Q95" s="2319"/>
      <c r="R95" s="2319"/>
      <c r="S95" s="2319"/>
      <c r="T95" s="2116">
        <f>ROUND(IPMT(($AA$3%+0.35%)/11,1,$D$219-$D$88+1,$P$220-(SUM($P$4:P94)))*-1,2)</f>
        <v>17850</v>
      </c>
      <c r="U95" s="2116"/>
      <c r="V95" s="2116"/>
      <c r="W95" s="2116"/>
      <c r="X95" s="777"/>
      <c r="Y95" s="781"/>
      <c r="Z95" s="781"/>
      <c r="AA95" s="777"/>
    </row>
    <row r="96" spans="1:27">
      <c r="A96" s="2112">
        <v>21</v>
      </c>
      <c r="B96" s="2313"/>
      <c r="C96" s="2313"/>
      <c r="D96" s="2317">
        <f t="shared" si="7"/>
        <v>2020</v>
      </c>
      <c r="E96" s="2317"/>
      <c r="F96" s="2317"/>
      <c r="G96" s="2317"/>
      <c r="H96" s="2317" t="s">
        <v>314</v>
      </c>
      <c r="I96" s="2317"/>
      <c r="J96" s="2317"/>
      <c r="K96" s="2317"/>
      <c r="L96" s="2317"/>
      <c r="M96" s="2317"/>
      <c r="N96" s="2317"/>
      <c r="O96" s="2317"/>
      <c r="P96" s="2318">
        <v>60000</v>
      </c>
      <c r="Q96" s="2319"/>
      <c r="R96" s="2319"/>
      <c r="S96" s="2319"/>
      <c r="T96" s="2116">
        <f>ROUND(IPMT(($AA$3%+0.35%)/11,1,$D$219-$D$88+1,$P$220-(SUM($P$4:P95)))*-1,2)</f>
        <v>17700</v>
      </c>
      <c r="U96" s="2116"/>
      <c r="V96" s="2116"/>
      <c r="W96" s="2116"/>
      <c r="X96" s="777"/>
      <c r="Y96" s="781"/>
      <c r="Z96" s="781"/>
      <c r="AA96" s="777"/>
    </row>
    <row r="97" spans="1:27">
      <c r="A97" s="2112">
        <v>22</v>
      </c>
      <c r="B97" s="2313"/>
      <c r="C97" s="2313"/>
      <c r="D97" s="2317">
        <f t="shared" si="7"/>
        <v>2020</v>
      </c>
      <c r="E97" s="2317"/>
      <c r="F97" s="2317"/>
      <c r="G97" s="2317"/>
      <c r="H97" s="2317" t="s">
        <v>315</v>
      </c>
      <c r="I97" s="2317"/>
      <c r="J97" s="2317"/>
      <c r="K97" s="2317"/>
      <c r="L97" s="2317"/>
      <c r="M97" s="2317"/>
      <c r="N97" s="2317"/>
      <c r="O97" s="2317"/>
      <c r="P97" s="2318">
        <v>60000</v>
      </c>
      <c r="Q97" s="2319"/>
      <c r="R97" s="2319"/>
      <c r="S97" s="2319"/>
      <c r="T97" s="2116">
        <f>ROUND(IPMT(($AA$3%+0.35%)/11,1,$D$219-$D$88+1,$P$220-(SUM($P$4:P96)))*-1,2)</f>
        <v>17550</v>
      </c>
      <c r="U97" s="2116"/>
      <c r="V97" s="2116"/>
      <c r="W97" s="2116"/>
      <c r="X97" s="777"/>
      <c r="Y97" s="781"/>
      <c r="Z97" s="781"/>
      <c r="AA97" s="777"/>
    </row>
    <row r="98" spans="1:27">
      <c r="A98" s="2112">
        <v>23</v>
      </c>
      <c r="B98" s="2313"/>
      <c r="C98" s="2313"/>
      <c r="D98" s="2317">
        <f t="shared" si="7"/>
        <v>2020</v>
      </c>
      <c r="E98" s="2317"/>
      <c r="F98" s="2317"/>
      <c r="G98" s="2317"/>
      <c r="H98" s="2317" t="s">
        <v>316</v>
      </c>
      <c r="I98" s="2317"/>
      <c r="J98" s="2317"/>
      <c r="K98" s="2317"/>
      <c r="L98" s="2317"/>
      <c r="M98" s="2317"/>
      <c r="N98" s="2317"/>
      <c r="O98" s="2317"/>
      <c r="P98" s="2318">
        <v>60000</v>
      </c>
      <c r="Q98" s="2319"/>
      <c r="R98" s="2319"/>
      <c r="S98" s="2319"/>
      <c r="T98" s="2116">
        <f>ROUND(IPMT(($AA$3%+0.35%)/11,1,$D$219-$D$88+1,$P$220-(SUM($P$4:P97)))*-1,2)</f>
        <v>17400</v>
      </c>
      <c r="U98" s="2116"/>
      <c r="V98" s="2116"/>
      <c r="W98" s="2116"/>
      <c r="X98" s="777"/>
      <c r="Y98" s="781"/>
      <c r="Z98" s="781"/>
      <c r="AA98" s="777"/>
    </row>
    <row r="99" spans="1:27">
      <c r="A99" s="2112">
        <v>24</v>
      </c>
      <c r="B99" s="2313"/>
      <c r="C99" s="2313"/>
      <c r="D99" s="2317">
        <f t="shared" si="7"/>
        <v>2020</v>
      </c>
      <c r="E99" s="2317"/>
      <c r="F99" s="2317"/>
      <c r="G99" s="2317"/>
      <c r="H99" s="2317" t="s">
        <v>317</v>
      </c>
      <c r="I99" s="2317"/>
      <c r="J99" s="2317"/>
      <c r="K99" s="2317"/>
      <c r="L99" s="2317"/>
      <c r="M99" s="2317"/>
      <c r="N99" s="2317"/>
      <c r="O99" s="2317"/>
      <c r="P99" s="2318">
        <v>60000</v>
      </c>
      <c r="Q99" s="2319"/>
      <c r="R99" s="2319"/>
      <c r="S99" s="2319"/>
      <c r="T99" s="2116">
        <f>ROUND(IPMT(($AA$3%+0.35%)/11,1,$D$219-$D$88+1,$P$220-(SUM($P$4:P98)))*-1,2)</f>
        <v>17250</v>
      </c>
      <c r="U99" s="2116"/>
      <c r="V99" s="2116"/>
      <c r="W99" s="2116"/>
      <c r="X99" s="777"/>
      <c r="Y99" s="2324">
        <f>SUM(T88:W99)</f>
        <v>216900</v>
      </c>
      <c r="Z99" s="2325"/>
      <c r="AA99" s="777"/>
    </row>
    <row r="100" spans="1:27">
      <c r="A100" s="2326">
        <v>25</v>
      </c>
      <c r="B100" s="2327"/>
      <c r="C100" s="2327"/>
      <c r="D100" s="2328">
        <f>D88+1</f>
        <v>2021</v>
      </c>
      <c r="E100" s="2328"/>
      <c r="F100" s="2328"/>
      <c r="G100" s="2328"/>
      <c r="H100" s="2328" t="s">
        <v>306</v>
      </c>
      <c r="I100" s="2328"/>
      <c r="J100" s="2328"/>
      <c r="K100" s="2328"/>
      <c r="L100" s="2328"/>
      <c r="M100" s="2328"/>
      <c r="N100" s="2328"/>
      <c r="O100" s="2328"/>
      <c r="P100" s="2329">
        <v>60000</v>
      </c>
      <c r="Q100" s="2330"/>
      <c r="R100" s="2330"/>
      <c r="S100" s="2330"/>
      <c r="T100" s="2331">
        <f>ROUND(IPMT(($AA$3%+0.35%)/11,1,$D$219-$D$88+1,$P$220-(SUM($P$4:P99)))*-1,2)</f>
        <v>17100</v>
      </c>
      <c r="U100" s="2331"/>
      <c r="V100" s="2331"/>
      <c r="W100" s="2331"/>
      <c r="X100" s="777"/>
      <c r="Y100" s="782"/>
      <c r="Z100" s="781"/>
      <c r="AA100" s="777"/>
    </row>
    <row r="101" spans="1:27">
      <c r="A101" s="2112">
        <v>26</v>
      </c>
      <c r="B101" s="2313"/>
      <c r="C101" s="2313"/>
      <c r="D101" s="2317">
        <f t="shared" ref="D101:D111" si="8">D89+1</f>
        <v>2021</v>
      </c>
      <c r="E101" s="2317"/>
      <c r="F101" s="2317"/>
      <c r="G101" s="2317"/>
      <c r="H101" s="2317" t="s">
        <v>307</v>
      </c>
      <c r="I101" s="2317"/>
      <c r="J101" s="2317"/>
      <c r="K101" s="2317"/>
      <c r="L101" s="2317"/>
      <c r="M101" s="2317"/>
      <c r="N101" s="2317"/>
      <c r="O101" s="2317"/>
      <c r="P101" s="2318">
        <v>60000</v>
      </c>
      <c r="Q101" s="2319"/>
      <c r="R101" s="2319"/>
      <c r="S101" s="2319"/>
      <c r="T101" s="2116">
        <f>ROUND(IPMT(($AA$3%+0.35%)/11,1,$D$219-$D$208+1,$P$220-(SUM($P$4:P100)))*-1,2)</f>
        <v>16950</v>
      </c>
      <c r="U101" s="2116"/>
      <c r="V101" s="2116"/>
      <c r="W101" s="2116"/>
      <c r="X101" s="777"/>
      <c r="Y101" s="782"/>
      <c r="Z101" s="781"/>
      <c r="AA101" s="777"/>
    </row>
    <row r="102" spans="1:27">
      <c r="A102" s="2112">
        <v>27</v>
      </c>
      <c r="B102" s="2313"/>
      <c r="C102" s="2313"/>
      <c r="D102" s="2317">
        <f t="shared" si="8"/>
        <v>2021</v>
      </c>
      <c r="E102" s="2317"/>
      <c r="F102" s="2317"/>
      <c r="G102" s="2317"/>
      <c r="H102" s="2317" t="s">
        <v>308</v>
      </c>
      <c r="I102" s="2317"/>
      <c r="J102" s="2317"/>
      <c r="K102" s="2317"/>
      <c r="L102" s="2317"/>
      <c r="M102" s="2317"/>
      <c r="N102" s="2317"/>
      <c r="O102" s="2317"/>
      <c r="P102" s="2318">
        <v>60000</v>
      </c>
      <c r="Q102" s="2319"/>
      <c r="R102" s="2319"/>
      <c r="S102" s="2319"/>
      <c r="T102" s="2116">
        <f>ROUND(IPMT(($AA$3%+0.35%)/11,1,$D$219-$D$208+1,$P$220-(SUM($P$4:P101)))*-1,2)</f>
        <v>16800</v>
      </c>
      <c r="U102" s="2116"/>
      <c r="V102" s="2116"/>
      <c r="W102" s="2116"/>
      <c r="X102" s="777"/>
      <c r="Y102" s="782"/>
      <c r="Z102" s="781"/>
      <c r="AA102" s="777"/>
    </row>
    <row r="103" spans="1:27">
      <c r="A103" s="2112">
        <v>28</v>
      </c>
      <c r="B103" s="2313"/>
      <c r="C103" s="2313"/>
      <c r="D103" s="2317">
        <f t="shared" si="8"/>
        <v>2021</v>
      </c>
      <c r="E103" s="2317"/>
      <c r="F103" s="2317"/>
      <c r="G103" s="2317"/>
      <c r="H103" s="2317" t="s">
        <v>309</v>
      </c>
      <c r="I103" s="2317"/>
      <c r="J103" s="2317"/>
      <c r="K103" s="2317"/>
      <c r="L103" s="2317"/>
      <c r="M103" s="2317"/>
      <c r="N103" s="2317"/>
      <c r="O103" s="2317"/>
      <c r="P103" s="2318">
        <v>60000</v>
      </c>
      <c r="Q103" s="2319"/>
      <c r="R103" s="2319"/>
      <c r="S103" s="2319"/>
      <c r="T103" s="2116">
        <f>ROUND(IPMT(($AA$3%+0.35%)/11,1,$D$219-$D$208+1,$P$220-(SUM($P$4:P102)))*-1,2)</f>
        <v>16650</v>
      </c>
      <c r="U103" s="2116"/>
      <c r="V103" s="2116"/>
      <c r="W103" s="2116"/>
      <c r="X103" s="777"/>
      <c r="Y103" s="782"/>
      <c r="Z103" s="781"/>
      <c r="AA103" s="777"/>
    </row>
    <row r="104" spans="1:27">
      <c r="A104" s="2112">
        <v>29</v>
      </c>
      <c r="B104" s="2313"/>
      <c r="C104" s="2313"/>
      <c r="D104" s="2317">
        <f t="shared" si="8"/>
        <v>2021</v>
      </c>
      <c r="E104" s="2317"/>
      <c r="F104" s="2317"/>
      <c r="G104" s="2317"/>
      <c r="H104" s="2317" t="s">
        <v>310</v>
      </c>
      <c r="I104" s="2317"/>
      <c r="J104" s="2317"/>
      <c r="K104" s="2317"/>
      <c r="L104" s="2317"/>
      <c r="M104" s="2317"/>
      <c r="N104" s="2317"/>
      <c r="O104" s="2317"/>
      <c r="P104" s="2318">
        <v>60000</v>
      </c>
      <c r="Q104" s="2319"/>
      <c r="R104" s="2319"/>
      <c r="S104" s="2319"/>
      <c r="T104" s="2116">
        <f>ROUND(IPMT(($AA$3%+0.35%)/11,1,$D$219-$D$208+1,$P$220-(SUM($P$4:P103)))*-1,2)</f>
        <v>16500</v>
      </c>
      <c r="U104" s="2116"/>
      <c r="V104" s="2116"/>
      <c r="W104" s="2116"/>
      <c r="X104" s="777"/>
      <c r="Y104" s="782"/>
      <c r="Z104" s="781"/>
      <c r="AA104" s="777"/>
    </row>
    <row r="105" spans="1:27">
      <c r="A105" s="2112">
        <v>30</v>
      </c>
      <c r="B105" s="2313"/>
      <c r="C105" s="2313"/>
      <c r="D105" s="2317">
        <f t="shared" si="8"/>
        <v>2021</v>
      </c>
      <c r="E105" s="2317"/>
      <c r="F105" s="2317"/>
      <c r="G105" s="2317"/>
      <c r="H105" s="2317" t="s">
        <v>311</v>
      </c>
      <c r="I105" s="2317"/>
      <c r="J105" s="2317"/>
      <c r="K105" s="2317"/>
      <c r="L105" s="2317"/>
      <c r="M105" s="2317"/>
      <c r="N105" s="2317"/>
      <c r="O105" s="2317"/>
      <c r="P105" s="2318">
        <v>60000</v>
      </c>
      <c r="Q105" s="2319"/>
      <c r="R105" s="2319"/>
      <c r="S105" s="2319"/>
      <c r="T105" s="2116">
        <f>ROUND(IPMT(($AA$3%+0.35%)/11,1,$D$219-$D$208+1,$P$220-(SUM($P$4:P104)))*-1,2)</f>
        <v>16350</v>
      </c>
      <c r="U105" s="2116"/>
      <c r="V105" s="2116"/>
      <c r="W105" s="2116"/>
      <c r="X105" s="777"/>
      <c r="Y105" s="782"/>
      <c r="Z105" s="781"/>
      <c r="AA105" s="777"/>
    </row>
    <row r="106" spans="1:27">
      <c r="A106" s="2112">
        <v>31</v>
      </c>
      <c r="B106" s="2313"/>
      <c r="C106" s="2313"/>
      <c r="D106" s="2317">
        <f t="shared" si="8"/>
        <v>2021</v>
      </c>
      <c r="E106" s="2317"/>
      <c r="F106" s="2317"/>
      <c r="G106" s="2317"/>
      <c r="H106" s="2317" t="s">
        <v>312</v>
      </c>
      <c r="I106" s="2317"/>
      <c r="J106" s="2317"/>
      <c r="K106" s="2317"/>
      <c r="L106" s="2317"/>
      <c r="M106" s="2317"/>
      <c r="N106" s="2317"/>
      <c r="O106" s="2317"/>
      <c r="P106" s="2318">
        <v>60000</v>
      </c>
      <c r="Q106" s="2319"/>
      <c r="R106" s="2319"/>
      <c r="S106" s="2319"/>
      <c r="T106" s="2116">
        <f>ROUND(IPMT(($AA$3%+0.35%)/11,1,$D$219-$D$208+1,$P$220-(SUM($P$4:P105)))*-1,2)</f>
        <v>16200</v>
      </c>
      <c r="U106" s="2116"/>
      <c r="V106" s="2116"/>
      <c r="W106" s="2116"/>
      <c r="X106" s="777"/>
      <c r="Y106" s="782"/>
      <c r="Z106" s="781"/>
      <c r="AA106" s="777"/>
    </row>
    <row r="107" spans="1:27">
      <c r="A107" s="2112">
        <v>32</v>
      </c>
      <c r="B107" s="2313"/>
      <c r="C107" s="2313"/>
      <c r="D107" s="2317">
        <f t="shared" si="8"/>
        <v>2021</v>
      </c>
      <c r="E107" s="2317"/>
      <c r="F107" s="2317"/>
      <c r="G107" s="2317"/>
      <c r="H107" s="2317" t="s">
        <v>313</v>
      </c>
      <c r="I107" s="2317"/>
      <c r="J107" s="2317"/>
      <c r="K107" s="2317"/>
      <c r="L107" s="2317"/>
      <c r="M107" s="2317"/>
      <c r="N107" s="2317"/>
      <c r="O107" s="2317"/>
      <c r="P107" s="2318">
        <v>60000</v>
      </c>
      <c r="Q107" s="2319"/>
      <c r="R107" s="2319"/>
      <c r="S107" s="2319"/>
      <c r="T107" s="2116">
        <f>ROUND(IPMT(($AA$3%+0.35%)/11,1,$D$219-$D$208+1,$P$220-(SUM($P$4:P106)))*-1,2)</f>
        <v>16050</v>
      </c>
      <c r="U107" s="2116"/>
      <c r="V107" s="2116"/>
      <c r="W107" s="2116"/>
      <c r="X107" s="777"/>
      <c r="Y107" s="782"/>
      <c r="Z107" s="781"/>
      <c r="AA107" s="777"/>
    </row>
    <row r="108" spans="1:27">
      <c r="A108" s="2112">
        <v>33</v>
      </c>
      <c r="B108" s="2313"/>
      <c r="C108" s="2313"/>
      <c r="D108" s="2317">
        <f t="shared" si="8"/>
        <v>2021</v>
      </c>
      <c r="E108" s="2317"/>
      <c r="F108" s="2317"/>
      <c r="G108" s="2317"/>
      <c r="H108" s="2317" t="s">
        <v>314</v>
      </c>
      <c r="I108" s="2317"/>
      <c r="J108" s="2317"/>
      <c r="K108" s="2317"/>
      <c r="L108" s="2317"/>
      <c r="M108" s="2317"/>
      <c r="N108" s="2317"/>
      <c r="O108" s="2317"/>
      <c r="P108" s="2318">
        <v>60000</v>
      </c>
      <c r="Q108" s="2319"/>
      <c r="R108" s="2319"/>
      <c r="S108" s="2319"/>
      <c r="T108" s="2116">
        <f>ROUND(IPMT(($AA$3%+0.35%)/11,1,$D$219-$D$208+1,$P$220-(SUM($P$4:P107)))*-1,2)</f>
        <v>15900</v>
      </c>
      <c r="U108" s="2116"/>
      <c r="V108" s="2116"/>
      <c r="W108" s="2116"/>
      <c r="X108" s="777"/>
      <c r="Y108" s="782"/>
      <c r="Z108" s="781"/>
      <c r="AA108" s="777"/>
    </row>
    <row r="109" spans="1:27">
      <c r="A109" s="2112">
        <v>34</v>
      </c>
      <c r="B109" s="2313"/>
      <c r="C109" s="2313"/>
      <c r="D109" s="2317">
        <f t="shared" si="8"/>
        <v>2021</v>
      </c>
      <c r="E109" s="2317"/>
      <c r="F109" s="2317"/>
      <c r="G109" s="2317"/>
      <c r="H109" s="2317" t="s">
        <v>315</v>
      </c>
      <c r="I109" s="2317"/>
      <c r="J109" s="2317"/>
      <c r="K109" s="2317"/>
      <c r="L109" s="2317"/>
      <c r="M109" s="2317"/>
      <c r="N109" s="2317"/>
      <c r="O109" s="2317"/>
      <c r="P109" s="2318">
        <v>60000</v>
      </c>
      <c r="Q109" s="2319"/>
      <c r="R109" s="2319"/>
      <c r="S109" s="2319"/>
      <c r="T109" s="2116">
        <f>ROUND(IPMT(($AA$3%+0.35%)/11,1,$D$219-$D$208+1,$P$220-(SUM($P$4:P108)))*-1,2)</f>
        <v>15750</v>
      </c>
      <c r="U109" s="2116"/>
      <c r="V109" s="2116"/>
      <c r="W109" s="2116"/>
      <c r="X109" s="777"/>
      <c r="Y109" s="782"/>
      <c r="Z109" s="781"/>
      <c r="AA109" s="777"/>
    </row>
    <row r="110" spans="1:27">
      <c r="A110" s="2112">
        <v>35</v>
      </c>
      <c r="B110" s="2313"/>
      <c r="C110" s="2313"/>
      <c r="D110" s="2317">
        <f t="shared" si="8"/>
        <v>2021</v>
      </c>
      <c r="E110" s="2317"/>
      <c r="F110" s="2317"/>
      <c r="G110" s="2317"/>
      <c r="H110" s="2317" t="s">
        <v>316</v>
      </c>
      <c r="I110" s="2317"/>
      <c r="J110" s="2317"/>
      <c r="K110" s="2317"/>
      <c r="L110" s="2317"/>
      <c r="M110" s="2317"/>
      <c r="N110" s="2317"/>
      <c r="O110" s="2317"/>
      <c r="P110" s="2318">
        <v>60000</v>
      </c>
      <c r="Q110" s="2319"/>
      <c r="R110" s="2319"/>
      <c r="S110" s="2319"/>
      <c r="T110" s="2116">
        <f>ROUND(IPMT(($AA$3%+0.35%)/11,1,$D$219-$D$208+1,$P$220-(SUM($P$4:P109)))*-1,2)</f>
        <v>15600</v>
      </c>
      <c r="U110" s="2116"/>
      <c r="V110" s="2116"/>
      <c r="W110" s="2116"/>
      <c r="X110" s="777"/>
      <c r="Y110" s="782"/>
      <c r="Z110" s="781"/>
      <c r="AA110" s="777"/>
    </row>
    <row r="111" spans="1:27">
      <c r="A111" s="2112">
        <v>36</v>
      </c>
      <c r="B111" s="2313"/>
      <c r="C111" s="2313"/>
      <c r="D111" s="2317">
        <f t="shared" si="8"/>
        <v>2021</v>
      </c>
      <c r="E111" s="2317"/>
      <c r="F111" s="2317"/>
      <c r="G111" s="2317"/>
      <c r="H111" s="2332" t="s">
        <v>317</v>
      </c>
      <c r="I111" s="2332"/>
      <c r="J111" s="2332"/>
      <c r="K111" s="2332"/>
      <c r="L111" s="2332"/>
      <c r="M111" s="2332"/>
      <c r="N111" s="2332"/>
      <c r="O111" s="2332"/>
      <c r="P111" s="2318">
        <v>60000</v>
      </c>
      <c r="Q111" s="2319"/>
      <c r="R111" s="2319"/>
      <c r="S111" s="2319"/>
      <c r="T111" s="2111">
        <f>ROUND(IPMT(($AA$3%+0.35%)/11,1,$D$219-$D$208+1,$P$220-(SUM($P$4:P110)))*-1,2)</f>
        <v>15450</v>
      </c>
      <c r="U111" s="2111"/>
      <c r="V111" s="2111"/>
      <c r="W111" s="2111"/>
      <c r="X111" s="777"/>
      <c r="Y111" s="2324">
        <f>SUM(T100:W111)</f>
        <v>195300</v>
      </c>
      <c r="Z111" s="2325"/>
      <c r="AA111" s="777"/>
    </row>
    <row r="112" spans="1:27">
      <c r="A112" s="2326">
        <v>37</v>
      </c>
      <c r="B112" s="2327"/>
      <c r="C112" s="2327"/>
      <c r="D112" s="2328">
        <f>D100+1</f>
        <v>2022</v>
      </c>
      <c r="E112" s="2328"/>
      <c r="F112" s="2328"/>
      <c r="G112" s="2328"/>
      <c r="H112" s="2328" t="s">
        <v>306</v>
      </c>
      <c r="I112" s="2328"/>
      <c r="J112" s="2328"/>
      <c r="K112" s="2328"/>
      <c r="L112" s="2328"/>
      <c r="M112" s="2328"/>
      <c r="N112" s="2328"/>
      <c r="O112" s="2328"/>
      <c r="P112" s="2329">
        <v>60000</v>
      </c>
      <c r="Q112" s="2330"/>
      <c r="R112" s="2330"/>
      <c r="S112" s="2330"/>
      <c r="T112" s="2331">
        <f>ROUND(IPMT(($AA$3%+0.35%)/11,1,$D$219-$D$88+1,$P$220-(SUM($P$4:P111)))*-1,2)</f>
        <v>15300</v>
      </c>
      <c r="U112" s="2331"/>
      <c r="V112" s="2331"/>
      <c r="W112" s="2331"/>
      <c r="X112" s="777"/>
      <c r="Y112" s="782"/>
      <c r="Z112" s="781"/>
      <c r="AA112" s="777"/>
    </row>
    <row r="113" spans="1:27">
      <c r="A113" s="2112">
        <v>38</v>
      </c>
      <c r="B113" s="2313"/>
      <c r="C113" s="2313"/>
      <c r="D113" s="2317">
        <f t="shared" ref="D113:D123" si="9">D101+1</f>
        <v>2022</v>
      </c>
      <c r="E113" s="2317"/>
      <c r="F113" s="2317"/>
      <c r="G113" s="2317"/>
      <c r="H113" s="2317" t="s">
        <v>307</v>
      </c>
      <c r="I113" s="2317"/>
      <c r="J113" s="2317"/>
      <c r="K113" s="2317"/>
      <c r="L113" s="2317"/>
      <c r="M113" s="2317"/>
      <c r="N113" s="2317"/>
      <c r="O113" s="2317"/>
      <c r="P113" s="2318">
        <v>60000</v>
      </c>
      <c r="Q113" s="2319"/>
      <c r="R113" s="2319"/>
      <c r="S113" s="2319"/>
      <c r="T113" s="2116">
        <f>ROUND(IPMT(($AA$3%+0.35%)/11,1,$D$219-$D$208+1,$P$220-(SUM($P$4:P112)))*-1,2)</f>
        <v>15150</v>
      </c>
      <c r="U113" s="2116"/>
      <c r="V113" s="2116"/>
      <c r="W113" s="2116"/>
      <c r="X113" s="777"/>
      <c r="Y113" s="782"/>
      <c r="Z113" s="781"/>
      <c r="AA113" s="777"/>
    </row>
    <row r="114" spans="1:27">
      <c r="A114" s="2112">
        <v>39</v>
      </c>
      <c r="B114" s="2313"/>
      <c r="C114" s="2313"/>
      <c r="D114" s="2317">
        <f t="shared" si="9"/>
        <v>2022</v>
      </c>
      <c r="E114" s="2317"/>
      <c r="F114" s="2317"/>
      <c r="G114" s="2317"/>
      <c r="H114" s="2317" t="s">
        <v>308</v>
      </c>
      <c r="I114" s="2317"/>
      <c r="J114" s="2317"/>
      <c r="K114" s="2317"/>
      <c r="L114" s="2317"/>
      <c r="M114" s="2317"/>
      <c r="N114" s="2317"/>
      <c r="O114" s="2317"/>
      <c r="P114" s="2318">
        <v>60000</v>
      </c>
      <c r="Q114" s="2319"/>
      <c r="R114" s="2319"/>
      <c r="S114" s="2319"/>
      <c r="T114" s="2116">
        <f>ROUND(IPMT(($AA$3%+0.35%)/11,1,$D$219-$D$208+1,$P$220-(SUM($P$4:P113)))*-1,2)</f>
        <v>15000</v>
      </c>
      <c r="U114" s="2116"/>
      <c r="V114" s="2116"/>
      <c r="W114" s="2116"/>
      <c r="X114" s="777"/>
      <c r="Y114" s="782"/>
      <c r="Z114" s="781"/>
      <c r="AA114" s="777"/>
    </row>
    <row r="115" spans="1:27">
      <c r="A115" s="2112">
        <v>40</v>
      </c>
      <c r="B115" s="2313"/>
      <c r="C115" s="2313"/>
      <c r="D115" s="2317">
        <f t="shared" si="9"/>
        <v>2022</v>
      </c>
      <c r="E115" s="2317"/>
      <c r="F115" s="2317"/>
      <c r="G115" s="2317"/>
      <c r="H115" s="2317" t="s">
        <v>309</v>
      </c>
      <c r="I115" s="2317"/>
      <c r="J115" s="2317"/>
      <c r="K115" s="2317"/>
      <c r="L115" s="2317"/>
      <c r="M115" s="2317"/>
      <c r="N115" s="2317"/>
      <c r="O115" s="2317"/>
      <c r="P115" s="2318">
        <v>60000</v>
      </c>
      <c r="Q115" s="2319"/>
      <c r="R115" s="2319"/>
      <c r="S115" s="2319"/>
      <c r="T115" s="2116">
        <f>ROUND(IPMT(($AA$3%+0.35%)/11,1,$D$219-$D$208+1,$P$220-(SUM($P$4:P114)))*-1,2)</f>
        <v>14850</v>
      </c>
      <c r="U115" s="2116"/>
      <c r="V115" s="2116"/>
      <c r="W115" s="2116"/>
      <c r="X115" s="777"/>
      <c r="Y115" s="782"/>
      <c r="Z115" s="781"/>
      <c r="AA115" s="777"/>
    </row>
    <row r="116" spans="1:27">
      <c r="A116" s="2112">
        <v>41</v>
      </c>
      <c r="B116" s="2313"/>
      <c r="C116" s="2313"/>
      <c r="D116" s="2317">
        <f t="shared" si="9"/>
        <v>2022</v>
      </c>
      <c r="E116" s="2317"/>
      <c r="F116" s="2317"/>
      <c r="G116" s="2317"/>
      <c r="H116" s="2317" t="s">
        <v>310</v>
      </c>
      <c r="I116" s="2317"/>
      <c r="J116" s="2317"/>
      <c r="K116" s="2317"/>
      <c r="L116" s="2317"/>
      <c r="M116" s="2317"/>
      <c r="N116" s="2317"/>
      <c r="O116" s="2317"/>
      <c r="P116" s="2318">
        <v>60000</v>
      </c>
      <c r="Q116" s="2319"/>
      <c r="R116" s="2319"/>
      <c r="S116" s="2319"/>
      <c r="T116" s="2116">
        <f>ROUND(IPMT(($AA$3%+0.35%)/11,1,$D$219-$D$208+1,$P$220-(SUM($P$4:P115)))*-1,2)</f>
        <v>14700</v>
      </c>
      <c r="U116" s="2116"/>
      <c r="V116" s="2116"/>
      <c r="W116" s="2116"/>
      <c r="X116" s="777"/>
      <c r="Y116" s="782"/>
      <c r="Z116" s="781"/>
      <c r="AA116" s="777"/>
    </row>
    <row r="117" spans="1:27">
      <c r="A117" s="2112">
        <v>42</v>
      </c>
      <c r="B117" s="2313"/>
      <c r="C117" s="2313"/>
      <c r="D117" s="2317">
        <f t="shared" si="9"/>
        <v>2022</v>
      </c>
      <c r="E117" s="2317"/>
      <c r="F117" s="2317"/>
      <c r="G117" s="2317"/>
      <c r="H117" s="2317" t="s">
        <v>311</v>
      </c>
      <c r="I117" s="2317"/>
      <c r="J117" s="2317"/>
      <c r="K117" s="2317"/>
      <c r="L117" s="2317"/>
      <c r="M117" s="2317"/>
      <c r="N117" s="2317"/>
      <c r="O117" s="2317"/>
      <c r="P117" s="2318">
        <v>60000</v>
      </c>
      <c r="Q117" s="2319"/>
      <c r="R117" s="2319"/>
      <c r="S117" s="2319"/>
      <c r="T117" s="2116">
        <f>ROUND(IPMT(($AA$3%+0.35%)/11,1,$D$219-$D$208+1,$P$220-(SUM($P$4:P116)))*-1,2)</f>
        <v>14550</v>
      </c>
      <c r="U117" s="2116"/>
      <c r="V117" s="2116"/>
      <c r="W117" s="2116"/>
      <c r="X117" s="777"/>
      <c r="Y117" s="782"/>
      <c r="Z117" s="781"/>
      <c r="AA117" s="777"/>
    </row>
    <row r="118" spans="1:27">
      <c r="A118" s="2112">
        <v>43</v>
      </c>
      <c r="B118" s="2313"/>
      <c r="C118" s="2313"/>
      <c r="D118" s="2317">
        <f t="shared" si="9"/>
        <v>2022</v>
      </c>
      <c r="E118" s="2317"/>
      <c r="F118" s="2317"/>
      <c r="G118" s="2317"/>
      <c r="H118" s="2317" t="s">
        <v>312</v>
      </c>
      <c r="I118" s="2317"/>
      <c r="J118" s="2317"/>
      <c r="K118" s="2317"/>
      <c r="L118" s="2317"/>
      <c r="M118" s="2317"/>
      <c r="N118" s="2317"/>
      <c r="O118" s="2317"/>
      <c r="P118" s="2318">
        <v>60000</v>
      </c>
      <c r="Q118" s="2319"/>
      <c r="R118" s="2319"/>
      <c r="S118" s="2319"/>
      <c r="T118" s="2116">
        <f>ROUND(IPMT(($AA$3%+0.35%)/11,1,$D$219-$D$208+1,$P$220-(SUM($P$4:P117)))*-1,2)</f>
        <v>14400</v>
      </c>
      <c r="U118" s="2116"/>
      <c r="V118" s="2116"/>
      <c r="W118" s="2116"/>
      <c r="X118" s="777"/>
      <c r="Y118" s="782"/>
      <c r="Z118" s="781"/>
      <c r="AA118" s="777"/>
    </row>
    <row r="119" spans="1:27">
      <c r="A119" s="2112">
        <v>44</v>
      </c>
      <c r="B119" s="2313"/>
      <c r="C119" s="2313"/>
      <c r="D119" s="2317">
        <f t="shared" si="9"/>
        <v>2022</v>
      </c>
      <c r="E119" s="2317"/>
      <c r="F119" s="2317"/>
      <c r="G119" s="2317"/>
      <c r="H119" s="2317" t="s">
        <v>313</v>
      </c>
      <c r="I119" s="2317"/>
      <c r="J119" s="2317"/>
      <c r="K119" s="2317"/>
      <c r="L119" s="2317"/>
      <c r="M119" s="2317"/>
      <c r="N119" s="2317"/>
      <c r="O119" s="2317"/>
      <c r="P119" s="2318">
        <v>60000</v>
      </c>
      <c r="Q119" s="2319"/>
      <c r="R119" s="2319"/>
      <c r="S119" s="2319"/>
      <c r="T119" s="2116">
        <f>ROUND(IPMT(($AA$3%+0.35%)/11,1,$D$219-$D$208+1,$P$220-(SUM($P$4:P118)))*-1,2)</f>
        <v>14250</v>
      </c>
      <c r="U119" s="2116"/>
      <c r="V119" s="2116"/>
      <c r="W119" s="2116"/>
      <c r="X119" s="777"/>
      <c r="Y119" s="782"/>
      <c r="Z119" s="781"/>
      <c r="AA119" s="777"/>
    </row>
    <row r="120" spans="1:27">
      <c r="A120" s="2112">
        <v>45</v>
      </c>
      <c r="B120" s="2313"/>
      <c r="C120" s="2313"/>
      <c r="D120" s="2317">
        <f t="shared" si="9"/>
        <v>2022</v>
      </c>
      <c r="E120" s="2317"/>
      <c r="F120" s="2317"/>
      <c r="G120" s="2317"/>
      <c r="H120" s="2317" t="s">
        <v>314</v>
      </c>
      <c r="I120" s="2317"/>
      <c r="J120" s="2317"/>
      <c r="K120" s="2317"/>
      <c r="L120" s="2317"/>
      <c r="M120" s="2317"/>
      <c r="N120" s="2317"/>
      <c r="O120" s="2317"/>
      <c r="P120" s="2318">
        <v>60000</v>
      </c>
      <c r="Q120" s="2319"/>
      <c r="R120" s="2319"/>
      <c r="S120" s="2319"/>
      <c r="T120" s="2116">
        <f>ROUND(IPMT(($AA$3%+0.35%)/11,1,$D$219-$D$208+1,$P$220-(SUM($P$4:P119)))*-1,2)</f>
        <v>14100</v>
      </c>
      <c r="U120" s="2116"/>
      <c r="V120" s="2116"/>
      <c r="W120" s="2116"/>
      <c r="X120" s="777"/>
      <c r="Y120" s="782"/>
      <c r="Z120" s="781"/>
      <c r="AA120" s="777"/>
    </row>
    <row r="121" spans="1:27">
      <c r="A121" s="2112">
        <v>46</v>
      </c>
      <c r="B121" s="2313"/>
      <c r="C121" s="2313"/>
      <c r="D121" s="2317">
        <f t="shared" si="9"/>
        <v>2022</v>
      </c>
      <c r="E121" s="2317"/>
      <c r="F121" s="2317"/>
      <c r="G121" s="2317"/>
      <c r="H121" s="2317" t="s">
        <v>315</v>
      </c>
      <c r="I121" s="2317"/>
      <c r="J121" s="2317"/>
      <c r="K121" s="2317"/>
      <c r="L121" s="2317"/>
      <c r="M121" s="2317"/>
      <c r="N121" s="2317"/>
      <c r="O121" s="2317"/>
      <c r="P121" s="2318">
        <v>60000</v>
      </c>
      <c r="Q121" s="2319"/>
      <c r="R121" s="2319"/>
      <c r="S121" s="2319"/>
      <c r="T121" s="2116">
        <f>ROUND(IPMT(($AA$3%+0.35%)/11,1,$D$219-$D$208+1,$P$220-(SUM($P$4:P120)))*-1,2)</f>
        <v>13950</v>
      </c>
      <c r="U121" s="2116"/>
      <c r="V121" s="2116"/>
      <c r="W121" s="2116"/>
      <c r="X121" s="777"/>
      <c r="Y121" s="782"/>
      <c r="Z121" s="781"/>
      <c r="AA121" s="777"/>
    </row>
    <row r="122" spans="1:27">
      <c r="A122" s="2112">
        <v>47</v>
      </c>
      <c r="B122" s="2313"/>
      <c r="C122" s="2313"/>
      <c r="D122" s="2317">
        <f t="shared" si="9"/>
        <v>2022</v>
      </c>
      <c r="E122" s="2317"/>
      <c r="F122" s="2317"/>
      <c r="G122" s="2317"/>
      <c r="H122" s="2317" t="s">
        <v>316</v>
      </c>
      <c r="I122" s="2317"/>
      <c r="J122" s="2317"/>
      <c r="K122" s="2317"/>
      <c r="L122" s="2317"/>
      <c r="M122" s="2317"/>
      <c r="N122" s="2317"/>
      <c r="O122" s="2317"/>
      <c r="P122" s="2318">
        <v>60000</v>
      </c>
      <c r="Q122" s="2319"/>
      <c r="R122" s="2319"/>
      <c r="S122" s="2319"/>
      <c r="T122" s="2116">
        <f>ROUND(IPMT(($AA$3%+0.35%)/11,1,$D$219-$D$208+1,$P$220-(SUM($P$4:P121)))*-1,2)</f>
        <v>13800</v>
      </c>
      <c r="U122" s="2116"/>
      <c r="V122" s="2116"/>
      <c r="W122" s="2116"/>
      <c r="X122" s="777"/>
      <c r="Y122" s="782"/>
      <c r="Z122" s="781"/>
      <c r="AA122" s="777"/>
    </row>
    <row r="123" spans="1:27">
      <c r="A123" s="2112">
        <v>48</v>
      </c>
      <c r="B123" s="2313"/>
      <c r="C123" s="2313"/>
      <c r="D123" s="2317">
        <f t="shared" si="9"/>
        <v>2022</v>
      </c>
      <c r="E123" s="2317"/>
      <c r="F123" s="2317"/>
      <c r="G123" s="2317"/>
      <c r="H123" s="2332" t="s">
        <v>317</v>
      </c>
      <c r="I123" s="2332"/>
      <c r="J123" s="2332"/>
      <c r="K123" s="2332"/>
      <c r="L123" s="2332"/>
      <c r="M123" s="2332"/>
      <c r="N123" s="2332"/>
      <c r="O123" s="2332"/>
      <c r="P123" s="2318">
        <v>60000</v>
      </c>
      <c r="Q123" s="2319"/>
      <c r="R123" s="2319"/>
      <c r="S123" s="2319"/>
      <c r="T123" s="2111">
        <f>ROUND(IPMT(($AA$3%+0.35%)/11,1,$D$219-$D$208+1,$P$220-(SUM($P$4:P122)))*-1,2)</f>
        <v>13650</v>
      </c>
      <c r="U123" s="2111"/>
      <c r="V123" s="2111"/>
      <c r="W123" s="2111"/>
      <c r="X123" s="777"/>
      <c r="Y123" s="2324">
        <f>SUM(T112:W123)</f>
        <v>173700</v>
      </c>
      <c r="Z123" s="2325"/>
      <c r="AA123" s="777"/>
    </row>
    <row r="124" spans="1:27">
      <c r="A124" s="2326">
        <v>37</v>
      </c>
      <c r="B124" s="2327"/>
      <c r="C124" s="2327"/>
      <c r="D124" s="2328">
        <f>D112+1</f>
        <v>2023</v>
      </c>
      <c r="E124" s="2328"/>
      <c r="F124" s="2328"/>
      <c r="G124" s="2328"/>
      <c r="H124" s="2328" t="s">
        <v>306</v>
      </c>
      <c r="I124" s="2328"/>
      <c r="J124" s="2328"/>
      <c r="K124" s="2328"/>
      <c r="L124" s="2328"/>
      <c r="M124" s="2328"/>
      <c r="N124" s="2328"/>
      <c r="O124" s="2328"/>
      <c r="P124" s="2329">
        <v>60000</v>
      </c>
      <c r="Q124" s="2330"/>
      <c r="R124" s="2330"/>
      <c r="S124" s="2330"/>
      <c r="T124" s="2331">
        <f>ROUND(IPMT(($AA$3%+0.35%)/11,1,$D$219-$D$88+1,$P$220-(SUM($P$4:P123)))*-1,2)</f>
        <v>13500</v>
      </c>
      <c r="U124" s="2331"/>
      <c r="V124" s="2331"/>
      <c r="W124" s="2331"/>
      <c r="X124" s="777"/>
      <c r="Y124" s="782"/>
      <c r="Z124" s="781"/>
      <c r="AA124" s="777"/>
    </row>
    <row r="125" spans="1:27">
      <c r="A125" s="2112">
        <v>38</v>
      </c>
      <c r="B125" s="2313"/>
      <c r="C125" s="2313"/>
      <c r="D125" s="2317">
        <f t="shared" ref="D125:D135" si="10">D113+1</f>
        <v>2023</v>
      </c>
      <c r="E125" s="2317"/>
      <c r="F125" s="2317"/>
      <c r="G125" s="2317"/>
      <c r="H125" s="2317" t="s">
        <v>307</v>
      </c>
      <c r="I125" s="2317"/>
      <c r="J125" s="2317"/>
      <c r="K125" s="2317"/>
      <c r="L125" s="2317"/>
      <c r="M125" s="2317"/>
      <c r="N125" s="2317"/>
      <c r="O125" s="2317"/>
      <c r="P125" s="2318">
        <v>60000</v>
      </c>
      <c r="Q125" s="2319"/>
      <c r="R125" s="2319"/>
      <c r="S125" s="2319"/>
      <c r="T125" s="2116">
        <f>ROUND(IPMT(($AA$3%+0.35%)/11,1,$D$219-$D$208+1,$P$220-(SUM($P$4:P124)))*-1,2)</f>
        <v>13350</v>
      </c>
      <c r="U125" s="2116"/>
      <c r="V125" s="2116"/>
      <c r="W125" s="2116"/>
      <c r="X125" s="777"/>
      <c r="Y125" s="782"/>
      <c r="Z125" s="781"/>
      <c r="AA125" s="777"/>
    </row>
    <row r="126" spans="1:27">
      <c r="A126" s="2112">
        <v>39</v>
      </c>
      <c r="B126" s="2313"/>
      <c r="C126" s="2313"/>
      <c r="D126" s="2317">
        <f t="shared" si="10"/>
        <v>2023</v>
      </c>
      <c r="E126" s="2317"/>
      <c r="F126" s="2317"/>
      <c r="G126" s="2317"/>
      <c r="H126" s="2317" t="s">
        <v>308</v>
      </c>
      <c r="I126" s="2317"/>
      <c r="J126" s="2317"/>
      <c r="K126" s="2317"/>
      <c r="L126" s="2317"/>
      <c r="M126" s="2317"/>
      <c r="N126" s="2317"/>
      <c r="O126" s="2317"/>
      <c r="P126" s="2318">
        <v>60000</v>
      </c>
      <c r="Q126" s="2319"/>
      <c r="R126" s="2319"/>
      <c r="S126" s="2319"/>
      <c r="T126" s="2116">
        <f>ROUND(IPMT(($AA$3%+0.35%)/11,1,$D$219-$D$208+1,$P$220-(SUM($P$4:P125)))*-1,2)</f>
        <v>13200</v>
      </c>
      <c r="U126" s="2116"/>
      <c r="V126" s="2116"/>
      <c r="W126" s="2116"/>
      <c r="X126" s="777"/>
      <c r="Y126" s="782"/>
      <c r="Z126" s="781"/>
      <c r="AA126" s="777"/>
    </row>
    <row r="127" spans="1:27">
      <c r="A127" s="2112">
        <v>40</v>
      </c>
      <c r="B127" s="2313"/>
      <c r="C127" s="2313"/>
      <c r="D127" s="2317">
        <f t="shared" si="10"/>
        <v>2023</v>
      </c>
      <c r="E127" s="2317"/>
      <c r="F127" s="2317"/>
      <c r="G127" s="2317"/>
      <c r="H127" s="2317" t="s">
        <v>309</v>
      </c>
      <c r="I127" s="2317"/>
      <c r="J127" s="2317"/>
      <c r="K127" s="2317"/>
      <c r="L127" s="2317"/>
      <c r="M127" s="2317"/>
      <c r="N127" s="2317"/>
      <c r="O127" s="2317"/>
      <c r="P127" s="2318">
        <v>60000</v>
      </c>
      <c r="Q127" s="2319"/>
      <c r="R127" s="2319"/>
      <c r="S127" s="2319"/>
      <c r="T127" s="2116">
        <f>ROUND(IPMT(($AA$3%+0.35%)/11,1,$D$219-$D$208+1,$P$220-(SUM($P$4:P126)))*-1,2)</f>
        <v>13050</v>
      </c>
      <c r="U127" s="2116"/>
      <c r="V127" s="2116"/>
      <c r="W127" s="2116"/>
      <c r="X127" s="777"/>
      <c r="Y127" s="782"/>
      <c r="Z127" s="781"/>
      <c r="AA127" s="777"/>
    </row>
    <row r="128" spans="1:27">
      <c r="A128" s="2112">
        <v>41</v>
      </c>
      <c r="B128" s="2313"/>
      <c r="C128" s="2313"/>
      <c r="D128" s="2317">
        <f t="shared" si="10"/>
        <v>2023</v>
      </c>
      <c r="E128" s="2317"/>
      <c r="F128" s="2317"/>
      <c r="G128" s="2317"/>
      <c r="H128" s="2317" t="s">
        <v>310</v>
      </c>
      <c r="I128" s="2317"/>
      <c r="J128" s="2317"/>
      <c r="K128" s="2317"/>
      <c r="L128" s="2317"/>
      <c r="M128" s="2317"/>
      <c r="N128" s="2317"/>
      <c r="O128" s="2317"/>
      <c r="P128" s="2318">
        <v>60000</v>
      </c>
      <c r="Q128" s="2319"/>
      <c r="R128" s="2319"/>
      <c r="S128" s="2319"/>
      <c r="T128" s="2116">
        <f>ROUND(IPMT(($AA$3%+0.35%)/11,1,$D$219-$D$208+1,$P$220-(SUM($P$4:P127)))*-1,2)</f>
        <v>12900</v>
      </c>
      <c r="U128" s="2116"/>
      <c r="V128" s="2116"/>
      <c r="W128" s="2116"/>
      <c r="X128" s="777"/>
      <c r="Y128" s="782"/>
      <c r="Z128" s="781"/>
      <c r="AA128" s="777"/>
    </row>
    <row r="129" spans="1:27">
      <c r="A129" s="2112">
        <v>42</v>
      </c>
      <c r="B129" s="2313"/>
      <c r="C129" s="2313"/>
      <c r="D129" s="2317">
        <f t="shared" si="10"/>
        <v>2023</v>
      </c>
      <c r="E129" s="2317"/>
      <c r="F129" s="2317"/>
      <c r="G129" s="2317"/>
      <c r="H129" s="2317" t="s">
        <v>311</v>
      </c>
      <c r="I129" s="2317"/>
      <c r="J129" s="2317"/>
      <c r="K129" s="2317"/>
      <c r="L129" s="2317"/>
      <c r="M129" s="2317"/>
      <c r="N129" s="2317"/>
      <c r="O129" s="2317"/>
      <c r="P129" s="2318">
        <v>60000</v>
      </c>
      <c r="Q129" s="2319"/>
      <c r="R129" s="2319"/>
      <c r="S129" s="2319"/>
      <c r="T129" s="2116">
        <f>ROUND(IPMT(($AA$3%+0.35%)/11,1,$D$219-$D$208+1,$P$220-(SUM($P$4:P128)))*-1,2)</f>
        <v>12750</v>
      </c>
      <c r="U129" s="2116"/>
      <c r="V129" s="2116"/>
      <c r="W129" s="2116"/>
      <c r="X129" s="777"/>
      <c r="Y129" s="782"/>
      <c r="Z129" s="781"/>
      <c r="AA129" s="777"/>
    </row>
    <row r="130" spans="1:27">
      <c r="A130" s="2112">
        <v>43</v>
      </c>
      <c r="B130" s="2313"/>
      <c r="C130" s="2313"/>
      <c r="D130" s="2317">
        <f t="shared" si="10"/>
        <v>2023</v>
      </c>
      <c r="E130" s="2317"/>
      <c r="F130" s="2317"/>
      <c r="G130" s="2317"/>
      <c r="H130" s="2317" t="s">
        <v>312</v>
      </c>
      <c r="I130" s="2317"/>
      <c r="J130" s="2317"/>
      <c r="K130" s="2317"/>
      <c r="L130" s="2317"/>
      <c r="M130" s="2317"/>
      <c r="N130" s="2317"/>
      <c r="O130" s="2317"/>
      <c r="P130" s="2318">
        <v>60000</v>
      </c>
      <c r="Q130" s="2319"/>
      <c r="R130" s="2319"/>
      <c r="S130" s="2319"/>
      <c r="T130" s="2116">
        <f>ROUND(IPMT(($AA$3%+0.35%)/11,1,$D$219-$D$208+1,$P$220-(SUM($P$4:P129)))*-1,2)</f>
        <v>12600</v>
      </c>
      <c r="U130" s="2116"/>
      <c r="V130" s="2116"/>
      <c r="W130" s="2116"/>
      <c r="X130" s="777"/>
      <c r="Y130" s="782"/>
      <c r="Z130" s="781"/>
      <c r="AA130" s="777"/>
    </row>
    <row r="131" spans="1:27">
      <c r="A131" s="2112">
        <v>44</v>
      </c>
      <c r="B131" s="2313"/>
      <c r="C131" s="2313"/>
      <c r="D131" s="2317">
        <f t="shared" si="10"/>
        <v>2023</v>
      </c>
      <c r="E131" s="2317"/>
      <c r="F131" s="2317"/>
      <c r="G131" s="2317"/>
      <c r="H131" s="2317" t="s">
        <v>313</v>
      </c>
      <c r="I131" s="2317"/>
      <c r="J131" s="2317"/>
      <c r="K131" s="2317"/>
      <c r="L131" s="2317"/>
      <c r="M131" s="2317"/>
      <c r="N131" s="2317"/>
      <c r="O131" s="2317"/>
      <c r="P131" s="2318">
        <v>60000</v>
      </c>
      <c r="Q131" s="2319"/>
      <c r="R131" s="2319"/>
      <c r="S131" s="2319"/>
      <c r="T131" s="2116">
        <f>ROUND(IPMT(($AA$3%+0.35%)/11,1,$D$219-$D$208+1,$P$220-(SUM($P$4:P130)))*-1,2)</f>
        <v>12450</v>
      </c>
      <c r="U131" s="2116"/>
      <c r="V131" s="2116"/>
      <c r="W131" s="2116"/>
      <c r="X131" s="777"/>
      <c r="Y131" s="782"/>
      <c r="Z131" s="781"/>
      <c r="AA131" s="777"/>
    </row>
    <row r="132" spans="1:27">
      <c r="A132" s="2112">
        <v>45</v>
      </c>
      <c r="B132" s="2313"/>
      <c r="C132" s="2313"/>
      <c r="D132" s="2317">
        <f t="shared" si="10"/>
        <v>2023</v>
      </c>
      <c r="E132" s="2317"/>
      <c r="F132" s="2317"/>
      <c r="G132" s="2317"/>
      <c r="H132" s="2317" t="s">
        <v>314</v>
      </c>
      <c r="I132" s="2317"/>
      <c r="J132" s="2317"/>
      <c r="K132" s="2317"/>
      <c r="L132" s="2317"/>
      <c r="M132" s="2317"/>
      <c r="N132" s="2317"/>
      <c r="O132" s="2317"/>
      <c r="P132" s="2318">
        <v>60000</v>
      </c>
      <c r="Q132" s="2319"/>
      <c r="R132" s="2319"/>
      <c r="S132" s="2319"/>
      <c r="T132" s="2116">
        <f>ROUND(IPMT(($AA$3%+0.35%)/11,1,$D$219-$D$208+1,$P$220-(SUM($P$4:P131)))*-1,2)</f>
        <v>12300</v>
      </c>
      <c r="U132" s="2116"/>
      <c r="V132" s="2116"/>
      <c r="W132" s="2116"/>
      <c r="X132" s="777"/>
      <c r="Y132" s="782"/>
      <c r="Z132" s="781"/>
      <c r="AA132" s="777"/>
    </row>
    <row r="133" spans="1:27">
      <c r="A133" s="2112">
        <v>46</v>
      </c>
      <c r="B133" s="2313"/>
      <c r="C133" s="2313"/>
      <c r="D133" s="2317">
        <f t="shared" si="10"/>
        <v>2023</v>
      </c>
      <c r="E133" s="2317"/>
      <c r="F133" s="2317"/>
      <c r="G133" s="2317"/>
      <c r="H133" s="2317" t="s">
        <v>315</v>
      </c>
      <c r="I133" s="2317"/>
      <c r="J133" s="2317"/>
      <c r="K133" s="2317"/>
      <c r="L133" s="2317"/>
      <c r="M133" s="2317"/>
      <c r="N133" s="2317"/>
      <c r="O133" s="2317"/>
      <c r="P133" s="2318">
        <v>60000</v>
      </c>
      <c r="Q133" s="2319"/>
      <c r="R133" s="2319"/>
      <c r="S133" s="2319"/>
      <c r="T133" s="2116">
        <f>ROUND(IPMT(($AA$3%+0.35%)/11,1,$D$219-$D$208+1,$P$220-(SUM($P$4:P132)))*-1,2)</f>
        <v>12150</v>
      </c>
      <c r="U133" s="2116"/>
      <c r="V133" s="2116"/>
      <c r="W133" s="2116"/>
      <c r="X133" s="777"/>
      <c r="Y133" s="782"/>
      <c r="Z133" s="781"/>
      <c r="AA133" s="777"/>
    </row>
    <row r="134" spans="1:27">
      <c r="A134" s="2112">
        <v>47</v>
      </c>
      <c r="B134" s="2313"/>
      <c r="C134" s="2313"/>
      <c r="D134" s="2317">
        <f t="shared" si="10"/>
        <v>2023</v>
      </c>
      <c r="E134" s="2317"/>
      <c r="F134" s="2317"/>
      <c r="G134" s="2317"/>
      <c r="H134" s="2317" t="s">
        <v>316</v>
      </c>
      <c r="I134" s="2317"/>
      <c r="J134" s="2317"/>
      <c r="K134" s="2317"/>
      <c r="L134" s="2317"/>
      <c r="M134" s="2317"/>
      <c r="N134" s="2317"/>
      <c r="O134" s="2317"/>
      <c r="P134" s="2318">
        <v>60000</v>
      </c>
      <c r="Q134" s="2319"/>
      <c r="R134" s="2319"/>
      <c r="S134" s="2319"/>
      <c r="T134" s="2116">
        <f>ROUND(IPMT(($AA$3%+0.35%)/11,1,$D$219-$D$208+1,$P$220-(SUM($P$4:P133)))*-1,2)</f>
        <v>12000</v>
      </c>
      <c r="U134" s="2116"/>
      <c r="V134" s="2116"/>
      <c r="W134" s="2116"/>
      <c r="X134" s="777"/>
      <c r="Y134" s="782"/>
      <c r="Z134" s="781"/>
      <c r="AA134" s="777"/>
    </row>
    <row r="135" spans="1:27">
      <c r="A135" s="2112">
        <v>48</v>
      </c>
      <c r="B135" s="2313"/>
      <c r="C135" s="2313"/>
      <c r="D135" s="2317">
        <f t="shared" si="10"/>
        <v>2023</v>
      </c>
      <c r="E135" s="2317"/>
      <c r="F135" s="2317"/>
      <c r="G135" s="2317"/>
      <c r="H135" s="2332" t="s">
        <v>317</v>
      </c>
      <c r="I135" s="2332"/>
      <c r="J135" s="2332"/>
      <c r="K135" s="2332"/>
      <c r="L135" s="2332"/>
      <c r="M135" s="2332"/>
      <c r="N135" s="2332"/>
      <c r="O135" s="2332"/>
      <c r="P135" s="2318">
        <v>60000</v>
      </c>
      <c r="Q135" s="2319"/>
      <c r="R135" s="2319"/>
      <c r="S135" s="2319"/>
      <c r="T135" s="2111">
        <f>ROUND(IPMT(($AA$3%+0.35%)/11,1,$D$219-$D$208+1,$P$220-(SUM($P$4:P134)))*-1,2)</f>
        <v>11850</v>
      </c>
      <c r="U135" s="2111"/>
      <c r="V135" s="2111"/>
      <c r="W135" s="2111"/>
      <c r="X135" s="777"/>
      <c r="Y135" s="2324">
        <f>SUM(T124:W135)</f>
        <v>152100</v>
      </c>
      <c r="Z135" s="2325"/>
      <c r="AA135" s="777"/>
    </row>
    <row r="136" spans="1:27">
      <c r="A136" s="2326">
        <v>37</v>
      </c>
      <c r="B136" s="2327"/>
      <c r="C136" s="2327"/>
      <c r="D136" s="2328">
        <f>D125+1</f>
        <v>2024</v>
      </c>
      <c r="E136" s="2328"/>
      <c r="F136" s="2328"/>
      <c r="G136" s="2328"/>
      <c r="H136" s="2328" t="s">
        <v>306</v>
      </c>
      <c r="I136" s="2328"/>
      <c r="J136" s="2328"/>
      <c r="K136" s="2328"/>
      <c r="L136" s="2328"/>
      <c r="M136" s="2328"/>
      <c r="N136" s="2328"/>
      <c r="O136" s="2328"/>
      <c r="P136" s="2329">
        <v>60000</v>
      </c>
      <c r="Q136" s="2330"/>
      <c r="R136" s="2330"/>
      <c r="S136" s="2330"/>
      <c r="T136" s="2331">
        <f>ROUND(IPMT(($AA$3%+0.35%)/11,1,$D$219-$D$88+1,$P$220-(SUM($P$4:P135)))*-1,2)</f>
        <v>11700</v>
      </c>
      <c r="U136" s="2331"/>
      <c r="V136" s="2331"/>
      <c r="W136" s="2331"/>
      <c r="X136" s="777"/>
      <c r="Y136" s="782"/>
      <c r="Z136" s="781"/>
      <c r="AA136" s="777"/>
    </row>
    <row r="137" spans="1:27">
      <c r="A137" s="2112">
        <v>38</v>
      </c>
      <c r="B137" s="2313"/>
      <c r="C137" s="2313"/>
      <c r="D137" s="2317">
        <v>2024</v>
      </c>
      <c r="E137" s="2317"/>
      <c r="F137" s="2317"/>
      <c r="G137" s="2317"/>
      <c r="H137" s="2317" t="s">
        <v>307</v>
      </c>
      <c r="I137" s="2317"/>
      <c r="J137" s="2317"/>
      <c r="K137" s="2317"/>
      <c r="L137" s="2317"/>
      <c r="M137" s="2317"/>
      <c r="N137" s="2317"/>
      <c r="O137" s="2317"/>
      <c r="P137" s="2318">
        <v>60000</v>
      </c>
      <c r="Q137" s="2319"/>
      <c r="R137" s="2319"/>
      <c r="S137" s="2319"/>
      <c r="T137" s="2116">
        <f>ROUND(IPMT(($AA$3%+0.35%)/11,1,$D$219-$D$208+1,$P$220-(SUM($P$4:P136)))*-1,2)</f>
        <v>11550</v>
      </c>
      <c r="U137" s="2116"/>
      <c r="V137" s="2116"/>
      <c r="W137" s="2116"/>
      <c r="X137" s="777"/>
      <c r="Y137" s="782"/>
      <c r="Z137" s="781"/>
      <c r="AA137" s="777"/>
    </row>
    <row r="138" spans="1:27">
      <c r="A138" s="2112">
        <v>39</v>
      </c>
      <c r="B138" s="2313"/>
      <c r="C138" s="2313"/>
      <c r="D138" s="2317">
        <v>2024</v>
      </c>
      <c r="E138" s="2317"/>
      <c r="F138" s="2317"/>
      <c r="G138" s="2317"/>
      <c r="H138" s="2317" t="s">
        <v>308</v>
      </c>
      <c r="I138" s="2317"/>
      <c r="J138" s="2317"/>
      <c r="K138" s="2317"/>
      <c r="L138" s="2317"/>
      <c r="M138" s="2317"/>
      <c r="N138" s="2317"/>
      <c r="O138" s="2317"/>
      <c r="P138" s="2318">
        <v>60000</v>
      </c>
      <c r="Q138" s="2319"/>
      <c r="R138" s="2319"/>
      <c r="S138" s="2319"/>
      <c r="T138" s="2116">
        <f>ROUND(IPMT(($AA$3%+0.35%)/11,1,$D$219-$D$208+1,$P$220-(SUM($P$4:P137)))*-1,2)</f>
        <v>11400</v>
      </c>
      <c r="U138" s="2116"/>
      <c r="V138" s="2116"/>
      <c r="W138" s="2116"/>
      <c r="X138" s="777"/>
      <c r="Y138" s="782"/>
      <c r="Z138" s="781"/>
      <c r="AA138" s="777"/>
    </row>
    <row r="139" spans="1:27">
      <c r="A139" s="2112">
        <v>40</v>
      </c>
      <c r="B139" s="2313"/>
      <c r="C139" s="2313"/>
      <c r="D139" s="2317">
        <v>2024</v>
      </c>
      <c r="E139" s="2317"/>
      <c r="F139" s="2317"/>
      <c r="G139" s="2317"/>
      <c r="H139" s="2317" t="s">
        <v>309</v>
      </c>
      <c r="I139" s="2317"/>
      <c r="J139" s="2317"/>
      <c r="K139" s="2317"/>
      <c r="L139" s="2317"/>
      <c r="M139" s="2317"/>
      <c r="N139" s="2317"/>
      <c r="O139" s="2317"/>
      <c r="P139" s="2318">
        <v>60000</v>
      </c>
      <c r="Q139" s="2319"/>
      <c r="R139" s="2319"/>
      <c r="S139" s="2319"/>
      <c r="T139" s="2116">
        <f>ROUND(IPMT(($AA$3%+0.35%)/11,1,$D$219-$D$208+1,$P$220-(SUM($P$4:P138)))*-1,2)</f>
        <v>11250</v>
      </c>
      <c r="U139" s="2116"/>
      <c r="V139" s="2116"/>
      <c r="W139" s="2116"/>
      <c r="X139" s="777"/>
      <c r="Y139" s="782"/>
      <c r="Z139" s="781"/>
      <c r="AA139" s="777"/>
    </row>
    <row r="140" spans="1:27">
      <c r="A140" s="2112">
        <v>41</v>
      </c>
      <c r="B140" s="2313"/>
      <c r="C140" s="2313"/>
      <c r="D140" s="2317">
        <v>2024</v>
      </c>
      <c r="E140" s="2317"/>
      <c r="F140" s="2317"/>
      <c r="G140" s="2317"/>
      <c r="H140" s="2317" t="s">
        <v>310</v>
      </c>
      <c r="I140" s="2317"/>
      <c r="J140" s="2317"/>
      <c r="K140" s="2317"/>
      <c r="L140" s="2317"/>
      <c r="M140" s="2317"/>
      <c r="N140" s="2317"/>
      <c r="O140" s="2317"/>
      <c r="P140" s="2318">
        <v>60000</v>
      </c>
      <c r="Q140" s="2319"/>
      <c r="R140" s="2319"/>
      <c r="S140" s="2319"/>
      <c r="T140" s="2116">
        <f>ROUND(IPMT(($AA$3%+0.35%)/11,1,$D$219-$D$208+1,$P$220-(SUM($P$4:P139)))*-1,2)</f>
        <v>11100</v>
      </c>
      <c r="U140" s="2116"/>
      <c r="V140" s="2116"/>
      <c r="W140" s="2116"/>
      <c r="X140" s="777"/>
      <c r="Y140" s="782"/>
      <c r="Z140" s="781"/>
      <c r="AA140" s="777"/>
    </row>
    <row r="141" spans="1:27">
      <c r="A141" s="2112">
        <v>42</v>
      </c>
      <c r="B141" s="2313"/>
      <c r="C141" s="2313"/>
      <c r="D141" s="2317">
        <v>2024</v>
      </c>
      <c r="E141" s="2317"/>
      <c r="F141" s="2317"/>
      <c r="G141" s="2317"/>
      <c r="H141" s="2317" t="s">
        <v>311</v>
      </c>
      <c r="I141" s="2317"/>
      <c r="J141" s="2317"/>
      <c r="K141" s="2317"/>
      <c r="L141" s="2317"/>
      <c r="M141" s="2317"/>
      <c r="N141" s="2317"/>
      <c r="O141" s="2317"/>
      <c r="P141" s="2318">
        <v>60000</v>
      </c>
      <c r="Q141" s="2319"/>
      <c r="R141" s="2319"/>
      <c r="S141" s="2319"/>
      <c r="T141" s="2116">
        <f>ROUND(IPMT(($AA$3%+0.35%)/11,1,$D$219-$D$208+1,$P$220-(SUM($P$4:P140)))*-1,2)</f>
        <v>10950</v>
      </c>
      <c r="U141" s="2116"/>
      <c r="V141" s="2116"/>
      <c r="W141" s="2116"/>
      <c r="X141" s="777"/>
      <c r="Y141" s="782"/>
      <c r="Z141" s="781"/>
      <c r="AA141" s="777"/>
    </row>
    <row r="142" spans="1:27">
      <c r="A142" s="2112">
        <v>43</v>
      </c>
      <c r="B142" s="2313"/>
      <c r="C142" s="2313"/>
      <c r="D142" s="2317">
        <v>2024</v>
      </c>
      <c r="E142" s="2317"/>
      <c r="F142" s="2317"/>
      <c r="G142" s="2317"/>
      <c r="H142" s="2317" t="s">
        <v>312</v>
      </c>
      <c r="I142" s="2317"/>
      <c r="J142" s="2317"/>
      <c r="K142" s="2317"/>
      <c r="L142" s="2317"/>
      <c r="M142" s="2317"/>
      <c r="N142" s="2317"/>
      <c r="O142" s="2317"/>
      <c r="P142" s="2318">
        <v>60000</v>
      </c>
      <c r="Q142" s="2319"/>
      <c r="R142" s="2319"/>
      <c r="S142" s="2319"/>
      <c r="T142" s="2116">
        <f>ROUND(IPMT(($AA$3%+0.35%)/11,1,$D$219-$D$208+1,$P$220-(SUM($P$4:P141)))*-1,2)</f>
        <v>10800</v>
      </c>
      <c r="U142" s="2116"/>
      <c r="V142" s="2116"/>
      <c r="W142" s="2116"/>
      <c r="X142" s="777"/>
      <c r="Y142" s="782"/>
      <c r="Z142" s="781"/>
      <c r="AA142" s="777"/>
    </row>
    <row r="143" spans="1:27">
      <c r="A143" s="2112">
        <v>44</v>
      </c>
      <c r="B143" s="2313"/>
      <c r="C143" s="2313"/>
      <c r="D143" s="2317">
        <v>2024</v>
      </c>
      <c r="E143" s="2317"/>
      <c r="F143" s="2317"/>
      <c r="G143" s="2317"/>
      <c r="H143" s="2317" t="s">
        <v>313</v>
      </c>
      <c r="I143" s="2317"/>
      <c r="J143" s="2317"/>
      <c r="K143" s="2317"/>
      <c r="L143" s="2317"/>
      <c r="M143" s="2317"/>
      <c r="N143" s="2317"/>
      <c r="O143" s="2317"/>
      <c r="P143" s="2318">
        <v>60000</v>
      </c>
      <c r="Q143" s="2319"/>
      <c r="R143" s="2319"/>
      <c r="S143" s="2319"/>
      <c r="T143" s="2116">
        <f>ROUND(IPMT(($AA$3%+0.35%)/11,1,$D$219-$D$208+1,$P$220-(SUM($P$4:P142)))*-1,2)</f>
        <v>10650</v>
      </c>
      <c r="U143" s="2116"/>
      <c r="V143" s="2116"/>
      <c r="W143" s="2116"/>
      <c r="X143" s="777"/>
      <c r="Y143" s="782"/>
      <c r="Z143" s="781"/>
      <c r="AA143" s="777"/>
    </row>
    <row r="144" spans="1:27">
      <c r="A144" s="2112">
        <v>45</v>
      </c>
      <c r="B144" s="2313"/>
      <c r="C144" s="2313"/>
      <c r="D144" s="2317">
        <v>2024</v>
      </c>
      <c r="E144" s="2317"/>
      <c r="F144" s="2317"/>
      <c r="G144" s="2317"/>
      <c r="H144" s="2317" t="s">
        <v>314</v>
      </c>
      <c r="I144" s="2317"/>
      <c r="J144" s="2317"/>
      <c r="K144" s="2317"/>
      <c r="L144" s="2317"/>
      <c r="M144" s="2317"/>
      <c r="N144" s="2317"/>
      <c r="O144" s="2317"/>
      <c r="P144" s="2318">
        <v>60000</v>
      </c>
      <c r="Q144" s="2319"/>
      <c r="R144" s="2319"/>
      <c r="S144" s="2319"/>
      <c r="T144" s="2116">
        <f>ROUND(IPMT(($AA$3%+0.35%)/11,1,$D$219-$D$208+1,$P$220-(SUM($P$4:P143)))*-1,2)</f>
        <v>10500</v>
      </c>
      <c r="U144" s="2116"/>
      <c r="V144" s="2116"/>
      <c r="W144" s="2116"/>
      <c r="X144" s="777"/>
      <c r="Y144" s="782"/>
      <c r="Z144" s="781"/>
      <c r="AA144" s="777"/>
    </row>
    <row r="145" spans="1:27">
      <c r="A145" s="2112">
        <v>46</v>
      </c>
      <c r="B145" s="2313"/>
      <c r="C145" s="2313"/>
      <c r="D145" s="2317">
        <v>2024</v>
      </c>
      <c r="E145" s="2317"/>
      <c r="F145" s="2317"/>
      <c r="G145" s="2317"/>
      <c r="H145" s="2317" t="s">
        <v>315</v>
      </c>
      <c r="I145" s="2317"/>
      <c r="J145" s="2317"/>
      <c r="K145" s="2317"/>
      <c r="L145" s="2317"/>
      <c r="M145" s="2317"/>
      <c r="N145" s="2317"/>
      <c r="O145" s="2317"/>
      <c r="P145" s="2318">
        <v>60000</v>
      </c>
      <c r="Q145" s="2319"/>
      <c r="R145" s="2319"/>
      <c r="S145" s="2319"/>
      <c r="T145" s="2116">
        <f>ROUND(IPMT(($AA$3%+0.35%)/11,1,$D$219-$D$208+1,$P$220-(SUM($P$4:P144)))*-1,2)</f>
        <v>10350</v>
      </c>
      <c r="U145" s="2116"/>
      <c r="V145" s="2116"/>
      <c r="W145" s="2116"/>
      <c r="X145" s="777"/>
      <c r="Y145" s="782"/>
      <c r="Z145" s="781"/>
      <c r="AA145" s="777"/>
    </row>
    <row r="146" spans="1:27">
      <c r="A146" s="2112">
        <v>47</v>
      </c>
      <c r="B146" s="2313"/>
      <c r="C146" s="2313"/>
      <c r="D146" s="2317">
        <v>2024</v>
      </c>
      <c r="E146" s="2317"/>
      <c r="F146" s="2317"/>
      <c r="G146" s="2317"/>
      <c r="H146" s="2317" t="s">
        <v>316</v>
      </c>
      <c r="I146" s="2317"/>
      <c r="J146" s="2317"/>
      <c r="K146" s="2317"/>
      <c r="L146" s="2317"/>
      <c r="M146" s="2317"/>
      <c r="N146" s="2317"/>
      <c r="O146" s="2317"/>
      <c r="P146" s="2318">
        <v>60000</v>
      </c>
      <c r="Q146" s="2319"/>
      <c r="R146" s="2319"/>
      <c r="S146" s="2319"/>
      <c r="T146" s="2116">
        <f>ROUND(IPMT(($AA$3%+0.35%)/11,1,$D$219-$D$208+1,$P$220-(SUM($P$4:P145)))*-1,2)</f>
        <v>10200</v>
      </c>
      <c r="U146" s="2116"/>
      <c r="V146" s="2116"/>
      <c r="W146" s="2116"/>
      <c r="X146" s="777"/>
      <c r="Y146" s="782"/>
      <c r="Z146" s="781"/>
      <c r="AA146" s="777"/>
    </row>
    <row r="147" spans="1:27">
      <c r="A147" s="2112">
        <v>48</v>
      </c>
      <c r="B147" s="2313"/>
      <c r="C147" s="2313"/>
      <c r="D147" s="2332">
        <v>2024</v>
      </c>
      <c r="E147" s="2332"/>
      <c r="F147" s="2332"/>
      <c r="G147" s="2332"/>
      <c r="H147" s="2332" t="s">
        <v>317</v>
      </c>
      <c r="I147" s="2332"/>
      <c r="J147" s="2332"/>
      <c r="K147" s="2332"/>
      <c r="L147" s="2332"/>
      <c r="M147" s="2332"/>
      <c r="N147" s="2332"/>
      <c r="O147" s="2332"/>
      <c r="P147" s="2318">
        <v>60000</v>
      </c>
      <c r="Q147" s="2319"/>
      <c r="R147" s="2319"/>
      <c r="S147" s="2319"/>
      <c r="T147" s="2111">
        <f>ROUND(IPMT(($AA$3%+0.35%)/11,1,$D$219-$D$208+1,$P$220-(SUM($P$4:P146)))*-1,2)</f>
        <v>10050</v>
      </c>
      <c r="U147" s="2111"/>
      <c r="V147" s="2111"/>
      <c r="W147" s="2111"/>
      <c r="X147" s="777"/>
      <c r="Y147" s="2324">
        <f>SUM(T136:W147)</f>
        <v>130500</v>
      </c>
      <c r="Z147" s="2325"/>
      <c r="AA147" s="777"/>
    </row>
    <row r="148" spans="1:27">
      <c r="A148" s="2326">
        <v>38</v>
      </c>
      <c r="B148" s="2327"/>
      <c r="C148" s="2327"/>
      <c r="D148" s="2328">
        <f>D137+1</f>
        <v>2025</v>
      </c>
      <c r="E148" s="2328"/>
      <c r="F148" s="2328"/>
      <c r="G148" s="2328"/>
      <c r="H148" s="2328" t="s">
        <v>306</v>
      </c>
      <c r="I148" s="2328"/>
      <c r="J148" s="2328"/>
      <c r="K148" s="2328"/>
      <c r="L148" s="2328"/>
      <c r="M148" s="2328"/>
      <c r="N148" s="2328"/>
      <c r="O148" s="2328"/>
      <c r="P148" s="2329">
        <v>60000</v>
      </c>
      <c r="Q148" s="2330"/>
      <c r="R148" s="2330"/>
      <c r="S148" s="2330"/>
      <c r="T148" s="2331">
        <f>ROUND(IPMT(($AA$3%+0.35%)/11,1,$D$219-$D$208+1,$P$220-(SUM($P$4:P147)))*-1,2)</f>
        <v>9900</v>
      </c>
      <c r="U148" s="2331"/>
      <c r="V148" s="2331"/>
      <c r="W148" s="2331"/>
      <c r="X148" s="777"/>
      <c r="Y148" s="782"/>
      <c r="Z148" s="781"/>
      <c r="AA148" s="777"/>
    </row>
    <row r="149" spans="1:27">
      <c r="A149" s="2112">
        <v>38</v>
      </c>
      <c r="B149" s="2313"/>
      <c r="C149" s="2313"/>
      <c r="D149" s="2317">
        <v>2025</v>
      </c>
      <c r="E149" s="2317"/>
      <c r="F149" s="2317"/>
      <c r="G149" s="2317"/>
      <c r="H149" s="2317" t="s">
        <v>307</v>
      </c>
      <c r="I149" s="2317"/>
      <c r="J149" s="2317"/>
      <c r="K149" s="2317"/>
      <c r="L149" s="2317"/>
      <c r="M149" s="2317"/>
      <c r="N149" s="2317"/>
      <c r="O149" s="2317"/>
      <c r="P149" s="2318">
        <v>60000</v>
      </c>
      <c r="Q149" s="2319"/>
      <c r="R149" s="2319"/>
      <c r="S149" s="2319"/>
      <c r="T149" s="2116">
        <f>ROUND(IPMT(($AA$3%+0.35%)/11,1,$D$219-$D$208+1,$P$220-(SUM($P$4:P148)))*-1,2)</f>
        <v>9750</v>
      </c>
      <c r="U149" s="2116"/>
      <c r="V149" s="2116"/>
      <c r="W149" s="2116"/>
      <c r="X149" s="777"/>
      <c r="Y149" s="782"/>
      <c r="Z149" s="781"/>
      <c r="AA149" s="777"/>
    </row>
    <row r="150" spans="1:27">
      <c r="A150" s="2112">
        <v>39</v>
      </c>
      <c r="B150" s="2313"/>
      <c r="C150" s="2313"/>
      <c r="D150" s="2317">
        <v>2025</v>
      </c>
      <c r="E150" s="2317"/>
      <c r="F150" s="2317"/>
      <c r="G150" s="2317"/>
      <c r="H150" s="2317" t="s">
        <v>308</v>
      </c>
      <c r="I150" s="2317"/>
      <c r="J150" s="2317"/>
      <c r="K150" s="2317"/>
      <c r="L150" s="2317"/>
      <c r="M150" s="2317"/>
      <c r="N150" s="2317"/>
      <c r="O150" s="2317"/>
      <c r="P150" s="2318">
        <v>60000</v>
      </c>
      <c r="Q150" s="2319"/>
      <c r="R150" s="2319"/>
      <c r="S150" s="2319"/>
      <c r="T150" s="2116">
        <f>ROUND(IPMT(($AA$3%+0.35%)/11,1,$D$219-$D$208+1,$P$220-(SUM($P$4:P149)))*-1,2)</f>
        <v>9600</v>
      </c>
      <c r="U150" s="2116"/>
      <c r="V150" s="2116"/>
      <c r="W150" s="2116"/>
      <c r="X150" s="777"/>
      <c r="Y150" s="782"/>
      <c r="Z150" s="781"/>
      <c r="AA150" s="777"/>
    </row>
    <row r="151" spans="1:27">
      <c r="A151" s="2112">
        <v>40</v>
      </c>
      <c r="B151" s="2313"/>
      <c r="C151" s="2313"/>
      <c r="D151" s="2317">
        <v>2025</v>
      </c>
      <c r="E151" s="2317"/>
      <c r="F151" s="2317"/>
      <c r="G151" s="2317"/>
      <c r="H151" s="2317" t="s">
        <v>309</v>
      </c>
      <c r="I151" s="2317"/>
      <c r="J151" s="2317"/>
      <c r="K151" s="2317"/>
      <c r="L151" s="2317"/>
      <c r="M151" s="2317"/>
      <c r="N151" s="2317"/>
      <c r="O151" s="2317"/>
      <c r="P151" s="2318">
        <v>60000</v>
      </c>
      <c r="Q151" s="2319"/>
      <c r="R151" s="2319"/>
      <c r="S151" s="2319"/>
      <c r="T151" s="2116">
        <f>ROUND(IPMT(($AA$3%+0.35%)/11,1,$D$219-$D$208+1,$P$220-(SUM($P$4:P150)))*-1,2)</f>
        <v>9450</v>
      </c>
      <c r="U151" s="2116"/>
      <c r="V151" s="2116"/>
      <c r="W151" s="2116"/>
      <c r="X151" s="777"/>
      <c r="Y151" s="782"/>
      <c r="Z151" s="781"/>
      <c r="AA151" s="777"/>
    </row>
    <row r="152" spans="1:27">
      <c r="A152" s="2112">
        <v>41</v>
      </c>
      <c r="B152" s="2313"/>
      <c r="C152" s="2313"/>
      <c r="D152" s="2317">
        <v>2025</v>
      </c>
      <c r="E152" s="2317"/>
      <c r="F152" s="2317"/>
      <c r="G152" s="2317"/>
      <c r="H152" s="2317" t="s">
        <v>310</v>
      </c>
      <c r="I152" s="2317"/>
      <c r="J152" s="2317"/>
      <c r="K152" s="2317"/>
      <c r="L152" s="2317"/>
      <c r="M152" s="2317"/>
      <c r="N152" s="2317"/>
      <c r="O152" s="2317"/>
      <c r="P152" s="2318">
        <v>60000</v>
      </c>
      <c r="Q152" s="2319"/>
      <c r="R152" s="2319"/>
      <c r="S152" s="2319"/>
      <c r="T152" s="2116">
        <f>ROUND(IPMT(($AA$3%+0.35%)/11,1,$D$219-$D$208+1,$P$220-(SUM($P$4:P151)))*-1,2)</f>
        <v>9300</v>
      </c>
      <c r="U152" s="2116"/>
      <c r="V152" s="2116"/>
      <c r="W152" s="2116"/>
      <c r="X152" s="777"/>
      <c r="Y152" s="782"/>
      <c r="Z152" s="781"/>
      <c r="AA152" s="777"/>
    </row>
    <row r="153" spans="1:27">
      <c r="A153" s="2112">
        <v>42</v>
      </c>
      <c r="B153" s="2313"/>
      <c r="C153" s="2313"/>
      <c r="D153" s="2317">
        <v>2025</v>
      </c>
      <c r="E153" s="2317"/>
      <c r="F153" s="2317"/>
      <c r="G153" s="2317"/>
      <c r="H153" s="2317" t="s">
        <v>311</v>
      </c>
      <c r="I153" s="2317"/>
      <c r="J153" s="2317"/>
      <c r="K153" s="2317"/>
      <c r="L153" s="2317"/>
      <c r="M153" s="2317"/>
      <c r="N153" s="2317"/>
      <c r="O153" s="2317"/>
      <c r="P153" s="2318">
        <v>60000</v>
      </c>
      <c r="Q153" s="2319"/>
      <c r="R153" s="2319"/>
      <c r="S153" s="2319"/>
      <c r="T153" s="2116">
        <f>ROUND(IPMT(($AA$3%+0.35%)/11,1,$D$219-$D$208+1,$P$220-(SUM($P$4:P152)))*-1,2)</f>
        <v>9150</v>
      </c>
      <c r="U153" s="2116"/>
      <c r="V153" s="2116"/>
      <c r="W153" s="2116"/>
      <c r="X153" s="777"/>
      <c r="Y153" s="782"/>
      <c r="Z153" s="781"/>
      <c r="AA153" s="777"/>
    </row>
    <row r="154" spans="1:27">
      <c r="A154" s="2112">
        <v>43</v>
      </c>
      <c r="B154" s="2313"/>
      <c r="C154" s="2313"/>
      <c r="D154" s="2317">
        <v>2025</v>
      </c>
      <c r="E154" s="2317"/>
      <c r="F154" s="2317"/>
      <c r="G154" s="2317"/>
      <c r="H154" s="2317" t="s">
        <v>312</v>
      </c>
      <c r="I154" s="2317"/>
      <c r="J154" s="2317"/>
      <c r="K154" s="2317"/>
      <c r="L154" s="2317"/>
      <c r="M154" s="2317"/>
      <c r="N154" s="2317"/>
      <c r="O154" s="2317"/>
      <c r="P154" s="2318">
        <v>60000</v>
      </c>
      <c r="Q154" s="2319"/>
      <c r="R154" s="2319"/>
      <c r="S154" s="2319"/>
      <c r="T154" s="2116">
        <f>ROUND(IPMT(($AA$3%+0.35%)/11,1,$D$219-$D$208+1,$P$220-(SUM($P$4:P153)))*-1,2)</f>
        <v>9000</v>
      </c>
      <c r="U154" s="2116"/>
      <c r="V154" s="2116"/>
      <c r="W154" s="2116"/>
      <c r="X154" s="777"/>
      <c r="Y154" s="782"/>
      <c r="Z154" s="781"/>
      <c r="AA154" s="777"/>
    </row>
    <row r="155" spans="1:27">
      <c r="A155" s="2112">
        <v>44</v>
      </c>
      <c r="B155" s="2313"/>
      <c r="C155" s="2313"/>
      <c r="D155" s="2317">
        <v>2025</v>
      </c>
      <c r="E155" s="2317"/>
      <c r="F155" s="2317"/>
      <c r="G155" s="2317"/>
      <c r="H155" s="2317" t="s">
        <v>313</v>
      </c>
      <c r="I155" s="2317"/>
      <c r="J155" s="2317"/>
      <c r="K155" s="2317"/>
      <c r="L155" s="2317"/>
      <c r="M155" s="2317"/>
      <c r="N155" s="2317"/>
      <c r="O155" s="2317"/>
      <c r="P155" s="2318">
        <v>60000</v>
      </c>
      <c r="Q155" s="2319"/>
      <c r="R155" s="2319"/>
      <c r="S155" s="2319"/>
      <c r="T155" s="2116">
        <f>ROUND(IPMT(($AA$3%+0.35%)/11,1,$D$219-$D$208+1,$P$220-(SUM($P$4:P154)))*-1,2)</f>
        <v>8850</v>
      </c>
      <c r="U155" s="2116"/>
      <c r="V155" s="2116"/>
      <c r="W155" s="2116"/>
      <c r="X155" s="777"/>
      <c r="Y155" s="782"/>
      <c r="Z155" s="781"/>
      <c r="AA155" s="777"/>
    </row>
    <row r="156" spans="1:27">
      <c r="A156" s="2112">
        <v>45</v>
      </c>
      <c r="B156" s="2313"/>
      <c r="C156" s="2313"/>
      <c r="D156" s="2317">
        <v>2025</v>
      </c>
      <c r="E156" s="2317"/>
      <c r="F156" s="2317"/>
      <c r="G156" s="2317"/>
      <c r="H156" s="2317" t="s">
        <v>314</v>
      </c>
      <c r="I156" s="2317"/>
      <c r="J156" s="2317"/>
      <c r="K156" s="2317"/>
      <c r="L156" s="2317"/>
      <c r="M156" s="2317"/>
      <c r="N156" s="2317"/>
      <c r="O156" s="2317"/>
      <c r="P156" s="2318">
        <v>60000</v>
      </c>
      <c r="Q156" s="2319"/>
      <c r="R156" s="2319"/>
      <c r="S156" s="2319"/>
      <c r="T156" s="2116">
        <f>ROUND(IPMT(($AA$3%+0.35%)/11,1,$D$219-$D$208+1,$P$220-(SUM($P$4:P155)))*-1,2)</f>
        <v>8700</v>
      </c>
      <c r="U156" s="2116"/>
      <c r="V156" s="2116"/>
      <c r="W156" s="2116"/>
      <c r="X156" s="777"/>
      <c r="Y156" s="782"/>
      <c r="Z156" s="781"/>
      <c r="AA156" s="777"/>
    </row>
    <row r="157" spans="1:27">
      <c r="A157" s="2112">
        <v>46</v>
      </c>
      <c r="B157" s="2313"/>
      <c r="C157" s="2313"/>
      <c r="D157" s="2317">
        <v>2025</v>
      </c>
      <c r="E157" s="2317"/>
      <c r="F157" s="2317"/>
      <c r="G157" s="2317"/>
      <c r="H157" s="2317" t="s">
        <v>315</v>
      </c>
      <c r="I157" s="2317"/>
      <c r="J157" s="2317"/>
      <c r="K157" s="2317"/>
      <c r="L157" s="2317"/>
      <c r="M157" s="2317"/>
      <c r="N157" s="2317"/>
      <c r="O157" s="2317"/>
      <c r="P157" s="2318">
        <v>60000</v>
      </c>
      <c r="Q157" s="2319"/>
      <c r="R157" s="2319"/>
      <c r="S157" s="2319"/>
      <c r="T157" s="2116">
        <f>ROUND(IPMT(($AA$3%+0.35%)/11,1,$D$219-$D$208+1,$P$220-(SUM($P$4:P156)))*-1,2)</f>
        <v>8550</v>
      </c>
      <c r="U157" s="2116"/>
      <c r="V157" s="2116"/>
      <c r="W157" s="2116"/>
      <c r="X157" s="777"/>
      <c r="Y157" s="782"/>
      <c r="Z157" s="781"/>
      <c r="AA157" s="777"/>
    </row>
    <row r="158" spans="1:27">
      <c r="A158" s="2112">
        <v>47</v>
      </c>
      <c r="B158" s="2313"/>
      <c r="C158" s="2313"/>
      <c r="D158" s="2317">
        <v>2025</v>
      </c>
      <c r="E158" s="2317"/>
      <c r="F158" s="2317"/>
      <c r="G158" s="2317"/>
      <c r="H158" s="2317" t="s">
        <v>316</v>
      </c>
      <c r="I158" s="2317"/>
      <c r="J158" s="2317"/>
      <c r="K158" s="2317"/>
      <c r="L158" s="2317"/>
      <c r="M158" s="2317"/>
      <c r="N158" s="2317"/>
      <c r="O158" s="2317"/>
      <c r="P158" s="2318">
        <v>60000</v>
      </c>
      <c r="Q158" s="2319"/>
      <c r="R158" s="2319"/>
      <c r="S158" s="2319"/>
      <c r="T158" s="2116">
        <f>ROUND(IPMT(($AA$3%+0.35%)/11,1,$D$219-$D$208+1,$P$220-(SUM($P$4:P157)))*-1,2)</f>
        <v>8400</v>
      </c>
      <c r="U158" s="2116"/>
      <c r="V158" s="2116"/>
      <c r="W158" s="2116"/>
      <c r="X158" s="777"/>
      <c r="Y158" s="782"/>
      <c r="Z158" s="781"/>
      <c r="AA158" s="777"/>
    </row>
    <row r="159" spans="1:27">
      <c r="A159" s="2112">
        <v>48</v>
      </c>
      <c r="B159" s="2313"/>
      <c r="C159" s="2313"/>
      <c r="D159" s="2317">
        <v>2025</v>
      </c>
      <c r="E159" s="2317"/>
      <c r="F159" s="2317"/>
      <c r="G159" s="2317"/>
      <c r="H159" s="2332" t="s">
        <v>317</v>
      </c>
      <c r="I159" s="2332"/>
      <c r="J159" s="2332"/>
      <c r="K159" s="2332"/>
      <c r="L159" s="2332"/>
      <c r="M159" s="2332"/>
      <c r="N159" s="2332"/>
      <c r="O159" s="2332"/>
      <c r="P159" s="2318">
        <v>60000</v>
      </c>
      <c r="Q159" s="2319"/>
      <c r="R159" s="2319"/>
      <c r="S159" s="2319"/>
      <c r="T159" s="2111">
        <f>ROUND(IPMT(($AA$3%+0.35%)/11,1,$D$219-$D$208+1,$P$220-(SUM($P$4:P158)))*-1,2)</f>
        <v>8250</v>
      </c>
      <c r="U159" s="2111"/>
      <c r="V159" s="2111"/>
      <c r="W159" s="2111"/>
      <c r="X159" s="777"/>
      <c r="Y159" s="2324">
        <f>SUM(T148:W159)</f>
        <v>108900</v>
      </c>
      <c r="Z159" s="2325"/>
      <c r="AA159" s="777"/>
    </row>
    <row r="160" spans="1:27">
      <c r="A160" s="2326">
        <v>37</v>
      </c>
      <c r="B160" s="2327"/>
      <c r="C160" s="2327"/>
      <c r="D160" s="2328">
        <v>2026</v>
      </c>
      <c r="E160" s="2328"/>
      <c r="F160" s="2328"/>
      <c r="G160" s="2328"/>
      <c r="H160" s="2328" t="s">
        <v>306</v>
      </c>
      <c r="I160" s="2328"/>
      <c r="J160" s="2328"/>
      <c r="K160" s="2328"/>
      <c r="L160" s="2328"/>
      <c r="M160" s="2328"/>
      <c r="N160" s="2328"/>
      <c r="O160" s="2328"/>
      <c r="P160" s="2329">
        <v>60000</v>
      </c>
      <c r="Q160" s="2330"/>
      <c r="R160" s="2330"/>
      <c r="S160" s="2330"/>
      <c r="T160" s="2331">
        <f>ROUND(IPMT(($AA$3%+0.35%)/11,1,$D$219-$D$88+1,$P$220-(SUM($P$4:P159)))*-1,2)</f>
        <v>8100</v>
      </c>
      <c r="U160" s="2331"/>
      <c r="V160" s="2331"/>
      <c r="W160" s="2331"/>
      <c r="X160" s="777"/>
      <c r="Y160" s="782"/>
      <c r="Z160" s="781"/>
      <c r="AA160" s="777"/>
    </row>
    <row r="161" spans="1:27">
      <c r="A161" s="2112">
        <v>38</v>
      </c>
      <c r="B161" s="2313"/>
      <c r="C161" s="2313"/>
      <c r="D161" s="2333">
        <v>2026</v>
      </c>
      <c r="E161" s="2333"/>
      <c r="F161" s="2333"/>
      <c r="G161" s="2333"/>
      <c r="H161" s="2317" t="s">
        <v>307</v>
      </c>
      <c r="I161" s="2317"/>
      <c r="J161" s="2317"/>
      <c r="K161" s="2317"/>
      <c r="L161" s="2317"/>
      <c r="M161" s="2317"/>
      <c r="N161" s="2317"/>
      <c r="O161" s="2317"/>
      <c r="P161" s="2318">
        <v>60000</v>
      </c>
      <c r="Q161" s="2319"/>
      <c r="R161" s="2319"/>
      <c r="S161" s="2319"/>
      <c r="T161" s="2116">
        <f>ROUND(IPMT(($AA$3%+0.35%)/11,1,$D$219-$D$208+1,$P$220-(SUM($P$4:P160)))*-1,2)</f>
        <v>7950</v>
      </c>
      <c r="U161" s="2116"/>
      <c r="V161" s="2116"/>
      <c r="W161" s="2116"/>
      <c r="X161" s="777"/>
      <c r="Y161" s="782"/>
      <c r="Z161" s="781"/>
      <c r="AA161" s="777"/>
    </row>
    <row r="162" spans="1:27">
      <c r="A162" s="2112">
        <v>39</v>
      </c>
      <c r="B162" s="2313"/>
      <c r="C162" s="2313"/>
      <c r="D162" s="2333">
        <v>2026</v>
      </c>
      <c r="E162" s="2333"/>
      <c r="F162" s="2333"/>
      <c r="G162" s="2333"/>
      <c r="H162" s="2317" t="s">
        <v>308</v>
      </c>
      <c r="I162" s="2317"/>
      <c r="J162" s="2317"/>
      <c r="K162" s="2317"/>
      <c r="L162" s="2317"/>
      <c r="M162" s="2317"/>
      <c r="N162" s="2317"/>
      <c r="O162" s="2317"/>
      <c r="P162" s="2318">
        <v>60000</v>
      </c>
      <c r="Q162" s="2319"/>
      <c r="R162" s="2319"/>
      <c r="S162" s="2319"/>
      <c r="T162" s="2116">
        <f>ROUND(IPMT(($AA$3%+0.35%)/11,1,$D$219-$D$208+1,$P$220-(SUM($P$4:P161)))*-1,2)</f>
        <v>7800</v>
      </c>
      <c r="U162" s="2116"/>
      <c r="V162" s="2116"/>
      <c r="W162" s="2116"/>
      <c r="X162" s="777"/>
      <c r="Y162" s="782"/>
      <c r="Z162" s="781"/>
      <c r="AA162" s="777"/>
    </row>
    <row r="163" spans="1:27">
      <c r="A163" s="2112">
        <v>40</v>
      </c>
      <c r="B163" s="2313"/>
      <c r="C163" s="2313"/>
      <c r="D163" s="2333">
        <v>2026</v>
      </c>
      <c r="E163" s="2333"/>
      <c r="F163" s="2333"/>
      <c r="G163" s="2333"/>
      <c r="H163" s="2317" t="s">
        <v>309</v>
      </c>
      <c r="I163" s="2317"/>
      <c r="J163" s="2317"/>
      <c r="K163" s="2317"/>
      <c r="L163" s="2317"/>
      <c r="M163" s="2317"/>
      <c r="N163" s="2317"/>
      <c r="O163" s="2317"/>
      <c r="P163" s="2318">
        <v>60000</v>
      </c>
      <c r="Q163" s="2319"/>
      <c r="R163" s="2319"/>
      <c r="S163" s="2319"/>
      <c r="T163" s="2116">
        <f>ROUND(IPMT(($AA$3%+0.35%)/11,1,$D$219-$D$208+1,$P$220-(SUM($P$4:P162)))*-1,2)</f>
        <v>7650</v>
      </c>
      <c r="U163" s="2116"/>
      <c r="V163" s="2116"/>
      <c r="W163" s="2116"/>
      <c r="X163" s="777"/>
      <c r="Y163" s="782"/>
      <c r="Z163" s="781"/>
      <c r="AA163" s="777"/>
    </row>
    <row r="164" spans="1:27">
      <c r="A164" s="2112">
        <v>41</v>
      </c>
      <c r="B164" s="2313"/>
      <c r="C164" s="2313"/>
      <c r="D164" s="2333">
        <v>2026</v>
      </c>
      <c r="E164" s="2333"/>
      <c r="F164" s="2333"/>
      <c r="G164" s="2333"/>
      <c r="H164" s="2317" t="s">
        <v>310</v>
      </c>
      <c r="I164" s="2317"/>
      <c r="J164" s="2317"/>
      <c r="K164" s="2317"/>
      <c r="L164" s="2317"/>
      <c r="M164" s="2317"/>
      <c r="N164" s="2317"/>
      <c r="O164" s="2317"/>
      <c r="P164" s="2318">
        <v>60000</v>
      </c>
      <c r="Q164" s="2319"/>
      <c r="R164" s="2319"/>
      <c r="S164" s="2319"/>
      <c r="T164" s="2116">
        <f>ROUND(IPMT(($AA$3%+0.35%)/11,1,$D$219-$D$208+1,$P$220-(SUM($P$4:P163)))*-1,2)</f>
        <v>7500</v>
      </c>
      <c r="U164" s="2116"/>
      <c r="V164" s="2116"/>
      <c r="W164" s="2116"/>
      <c r="X164" s="777"/>
      <c r="Y164" s="782"/>
      <c r="Z164" s="781"/>
      <c r="AA164" s="777"/>
    </row>
    <row r="165" spans="1:27">
      <c r="A165" s="2112">
        <v>42</v>
      </c>
      <c r="B165" s="2313"/>
      <c r="C165" s="2313"/>
      <c r="D165" s="2333">
        <v>2026</v>
      </c>
      <c r="E165" s="2333"/>
      <c r="F165" s="2333"/>
      <c r="G165" s="2333"/>
      <c r="H165" s="2317" t="s">
        <v>311</v>
      </c>
      <c r="I165" s="2317"/>
      <c r="J165" s="2317"/>
      <c r="K165" s="2317"/>
      <c r="L165" s="2317"/>
      <c r="M165" s="2317"/>
      <c r="N165" s="2317"/>
      <c r="O165" s="2317"/>
      <c r="P165" s="2318">
        <v>60000</v>
      </c>
      <c r="Q165" s="2319"/>
      <c r="R165" s="2319"/>
      <c r="S165" s="2319"/>
      <c r="T165" s="2116">
        <f>ROUND(IPMT(($AA$3%+0.35%)/11,1,$D$219-$D$208+1,$P$220-(SUM($P$4:P164)))*-1,2)</f>
        <v>7350</v>
      </c>
      <c r="U165" s="2116"/>
      <c r="V165" s="2116"/>
      <c r="W165" s="2116"/>
      <c r="X165" s="777"/>
      <c r="Y165" s="782"/>
      <c r="Z165" s="781"/>
      <c r="AA165" s="777"/>
    </row>
    <row r="166" spans="1:27">
      <c r="A166" s="2112">
        <v>43</v>
      </c>
      <c r="B166" s="2313"/>
      <c r="C166" s="2313"/>
      <c r="D166" s="2333">
        <v>2026</v>
      </c>
      <c r="E166" s="2333"/>
      <c r="F166" s="2333"/>
      <c r="G166" s="2333"/>
      <c r="H166" s="2317" t="s">
        <v>312</v>
      </c>
      <c r="I166" s="2317"/>
      <c r="J166" s="2317"/>
      <c r="K166" s="2317"/>
      <c r="L166" s="2317"/>
      <c r="M166" s="2317"/>
      <c r="N166" s="2317"/>
      <c r="O166" s="2317"/>
      <c r="P166" s="2318">
        <v>60000</v>
      </c>
      <c r="Q166" s="2319"/>
      <c r="R166" s="2319"/>
      <c r="S166" s="2319"/>
      <c r="T166" s="2116">
        <f>ROUND(IPMT(($AA$3%+0.35%)/11,1,$D$219-$D$208+1,$P$220-(SUM($P$4:P165)))*-1,2)</f>
        <v>7200</v>
      </c>
      <c r="U166" s="2116"/>
      <c r="V166" s="2116"/>
      <c r="W166" s="2116"/>
      <c r="X166" s="777"/>
      <c r="Y166" s="782"/>
      <c r="Z166" s="781"/>
      <c r="AA166" s="777"/>
    </row>
    <row r="167" spans="1:27">
      <c r="A167" s="2112">
        <v>44</v>
      </c>
      <c r="B167" s="2313"/>
      <c r="C167" s="2313"/>
      <c r="D167" s="2333">
        <v>2026</v>
      </c>
      <c r="E167" s="2333"/>
      <c r="F167" s="2333"/>
      <c r="G167" s="2333"/>
      <c r="H167" s="2317" t="s">
        <v>313</v>
      </c>
      <c r="I167" s="2317"/>
      <c r="J167" s="2317"/>
      <c r="K167" s="2317"/>
      <c r="L167" s="2317"/>
      <c r="M167" s="2317"/>
      <c r="N167" s="2317"/>
      <c r="O167" s="2317"/>
      <c r="P167" s="2318">
        <v>60000</v>
      </c>
      <c r="Q167" s="2319"/>
      <c r="R167" s="2319"/>
      <c r="S167" s="2319"/>
      <c r="T167" s="2116">
        <f>ROUND(IPMT(($AA$3%+0.35%)/11,1,$D$219-$D$208+1,$P$220-(SUM($P$4:P166)))*-1,2)</f>
        <v>7050</v>
      </c>
      <c r="U167" s="2116"/>
      <c r="V167" s="2116"/>
      <c r="W167" s="2116"/>
      <c r="X167" s="777"/>
      <c r="Y167" s="782"/>
      <c r="Z167" s="781"/>
      <c r="AA167" s="777"/>
    </row>
    <row r="168" spans="1:27">
      <c r="A168" s="2112">
        <v>45</v>
      </c>
      <c r="B168" s="2313"/>
      <c r="C168" s="2313"/>
      <c r="D168" s="2333">
        <v>2026</v>
      </c>
      <c r="E168" s="2333"/>
      <c r="F168" s="2333"/>
      <c r="G168" s="2333"/>
      <c r="H168" s="2317" t="s">
        <v>314</v>
      </c>
      <c r="I168" s="2317"/>
      <c r="J168" s="2317"/>
      <c r="K168" s="2317"/>
      <c r="L168" s="2317"/>
      <c r="M168" s="2317"/>
      <c r="N168" s="2317"/>
      <c r="O168" s="2317"/>
      <c r="P168" s="2318">
        <v>60000</v>
      </c>
      <c r="Q168" s="2319"/>
      <c r="R168" s="2319"/>
      <c r="S168" s="2319"/>
      <c r="T168" s="2116">
        <f>ROUND(IPMT(($AA$3%+0.35%)/11,1,$D$219-$D$208+1,$P$220-(SUM($P$4:P167)))*-1,2)</f>
        <v>6900</v>
      </c>
      <c r="U168" s="2116"/>
      <c r="V168" s="2116"/>
      <c r="W168" s="2116"/>
      <c r="X168" s="777"/>
      <c r="Y168" s="782"/>
      <c r="Z168" s="781"/>
      <c r="AA168" s="777"/>
    </row>
    <row r="169" spans="1:27">
      <c r="A169" s="2112">
        <v>46</v>
      </c>
      <c r="B169" s="2313"/>
      <c r="C169" s="2313"/>
      <c r="D169" s="2333">
        <v>2026</v>
      </c>
      <c r="E169" s="2333"/>
      <c r="F169" s="2333"/>
      <c r="G169" s="2333"/>
      <c r="H169" s="2317" t="s">
        <v>315</v>
      </c>
      <c r="I169" s="2317"/>
      <c r="J169" s="2317"/>
      <c r="K169" s="2317"/>
      <c r="L169" s="2317"/>
      <c r="M169" s="2317"/>
      <c r="N169" s="2317"/>
      <c r="O169" s="2317"/>
      <c r="P169" s="2318">
        <v>60000</v>
      </c>
      <c r="Q169" s="2319"/>
      <c r="R169" s="2319"/>
      <c r="S169" s="2319"/>
      <c r="T169" s="2116">
        <f>ROUND(IPMT(($AA$3%+0.35%)/11,1,$D$219-$D$208+1,$P$220-(SUM($P$4:P168)))*-1,2)</f>
        <v>6750</v>
      </c>
      <c r="U169" s="2116"/>
      <c r="V169" s="2116"/>
      <c r="W169" s="2116"/>
      <c r="X169" s="777"/>
      <c r="Y169" s="782"/>
      <c r="Z169" s="781"/>
      <c r="AA169" s="777"/>
    </row>
    <row r="170" spans="1:27">
      <c r="A170" s="2112">
        <v>47</v>
      </c>
      <c r="B170" s="2313"/>
      <c r="C170" s="2313"/>
      <c r="D170" s="2333">
        <v>2026</v>
      </c>
      <c r="E170" s="2333"/>
      <c r="F170" s="2333"/>
      <c r="G170" s="2333"/>
      <c r="H170" s="2317" t="s">
        <v>316</v>
      </c>
      <c r="I170" s="2317"/>
      <c r="J170" s="2317"/>
      <c r="K170" s="2317"/>
      <c r="L170" s="2317"/>
      <c r="M170" s="2317"/>
      <c r="N170" s="2317"/>
      <c r="O170" s="2317"/>
      <c r="P170" s="2318">
        <v>60000</v>
      </c>
      <c r="Q170" s="2319"/>
      <c r="R170" s="2319"/>
      <c r="S170" s="2319"/>
      <c r="T170" s="2116">
        <f>ROUND(IPMT(($AA$3%+0.35%)/11,1,$D$219-$D$208+1,$P$220-(SUM($P$4:P169)))*-1,2)</f>
        <v>6600</v>
      </c>
      <c r="U170" s="2116"/>
      <c r="V170" s="2116"/>
      <c r="W170" s="2116"/>
      <c r="X170" s="777"/>
      <c r="Y170" s="782"/>
      <c r="Z170" s="781"/>
      <c r="AA170" s="777"/>
    </row>
    <row r="171" spans="1:27">
      <c r="A171" s="2112">
        <v>48</v>
      </c>
      <c r="B171" s="2313"/>
      <c r="C171" s="2313"/>
      <c r="D171" s="2333">
        <v>2026</v>
      </c>
      <c r="E171" s="2333"/>
      <c r="F171" s="2333"/>
      <c r="G171" s="2333"/>
      <c r="H171" s="2332" t="s">
        <v>317</v>
      </c>
      <c r="I171" s="2332"/>
      <c r="J171" s="2332"/>
      <c r="K171" s="2332"/>
      <c r="L171" s="2332"/>
      <c r="M171" s="2332"/>
      <c r="N171" s="2332"/>
      <c r="O171" s="2332"/>
      <c r="P171" s="2318">
        <v>60000</v>
      </c>
      <c r="Q171" s="2319"/>
      <c r="R171" s="2319"/>
      <c r="S171" s="2319"/>
      <c r="T171" s="2111">
        <f>ROUND(IPMT(($AA$3%+0.35%)/11,1,$D$219-$D$208+1,$P$220-(SUM($P$4:P170)))*-1,2)</f>
        <v>6450</v>
      </c>
      <c r="U171" s="2111"/>
      <c r="V171" s="2111"/>
      <c r="W171" s="2111"/>
      <c r="X171" s="777"/>
      <c r="Y171" s="2324">
        <f>SUM(T160:W171)</f>
        <v>87300</v>
      </c>
      <c r="Z171" s="2325"/>
      <c r="AA171" s="777"/>
    </row>
    <row r="172" spans="1:27">
      <c r="A172" s="2326">
        <v>38</v>
      </c>
      <c r="B172" s="2327"/>
      <c r="C172" s="2327"/>
      <c r="D172" s="2328">
        <v>2027</v>
      </c>
      <c r="E172" s="2328"/>
      <c r="F172" s="2328"/>
      <c r="G172" s="2328"/>
      <c r="H172" s="2328" t="s">
        <v>306</v>
      </c>
      <c r="I172" s="2328"/>
      <c r="J172" s="2328"/>
      <c r="K172" s="2328"/>
      <c r="L172" s="2328"/>
      <c r="M172" s="2328"/>
      <c r="N172" s="2328"/>
      <c r="O172" s="2328"/>
      <c r="P172" s="2329">
        <v>60000</v>
      </c>
      <c r="Q172" s="2330"/>
      <c r="R172" s="2330"/>
      <c r="S172" s="2330"/>
      <c r="T172" s="2331">
        <f>ROUND(IPMT(($AA$3%+0.35%)/11,1,$D$219-$D$208+1,$P$220-(SUM($P$4:P170)))*-1,2)</f>
        <v>6450</v>
      </c>
      <c r="U172" s="2331"/>
      <c r="V172" s="2331"/>
      <c r="W172" s="2331"/>
      <c r="X172" s="777"/>
      <c r="Y172" s="782"/>
      <c r="Z172" s="781"/>
      <c r="AA172" s="777"/>
    </row>
    <row r="173" spans="1:27">
      <c r="A173" s="2112">
        <v>38</v>
      </c>
      <c r="B173" s="2313"/>
      <c r="C173" s="2313"/>
      <c r="D173" s="2317">
        <v>2027</v>
      </c>
      <c r="E173" s="2317"/>
      <c r="F173" s="2317"/>
      <c r="G173" s="2317"/>
      <c r="H173" s="2317" t="s">
        <v>307</v>
      </c>
      <c r="I173" s="2317"/>
      <c r="J173" s="2317"/>
      <c r="K173" s="2317"/>
      <c r="L173" s="2317"/>
      <c r="M173" s="2317"/>
      <c r="N173" s="2317"/>
      <c r="O173" s="2317"/>
      <c r="P173" s="2318">
        <v>60000</v>
      </c>
      <c r="Q173" s="2319"/>
      <c r="R173" s="2319"/>
      <c r="S173" s="2319"/>
      <c r="T173" s="2116">
        <f>ROUND(IPMT(($AA$3%+0.35%)/11,1,$D$219-$D$208+1,$P$220-(SUM($P$4:P171)))*-1,2)</f>
        <v>6300</v>
      </c>
      <c r="U173" s="2116"/>
      <c r="V173" s="2116"/>
      <c r="W173" s="2116"/>
      <c r="X173" s="777"/>
      <c r="Y173" s="782"/>
      <c r="Z173" s="781"/>
      <c r="AA173" s="777"/>
    </row>
    <row r="174" spans="1:27">
      <c r="A174" s="2112">
        <v>39</v>
      </c>
      <c r="B174" s="2313"/>
      <c r="C174" s="2313"/>
      <c r="D174" s="2317">
        <v>2027</v>
      </c>
      <c r="E174" s="2317"/>
      <c r="F174" s="2317"/>
      <c r="G174" s="2317"/>
      <c r="H174" s="2317" t="s">
        <v>308</v>
      </c>
      <c r="I174" s="2317"/>
      <c r="J174" s="2317"/>
      <c r="K174" s="2317"/>
      <c r="L174" s="2317"/>
      <c r="M174" s="2317"/>
      <c r="N174" s="2317"/>
      <c r="O174" s="2317"/>
      <c r="P174" s="2318">
        <v>60000</v>
      </c>
      <c r="Q174" s="2319"/>
      <c r="R174" s="2319"/>
      <c r="S174" s="2319"/>
      <c r="T174" s="2116">
        <f>ROUND(IPMT(($AA$3%+0.35%)/11,1,$D$219-$D$208+1,$P$220-(SUM($P$4:P173)))*-1,2)</f>
        <v>6000</v>
      </c>
      <c r="U174" s="2116"/>
      <c r="V174" s="2116"/>
      <c r="W174" s="2116"/>
      <c r="X174" s="777"/>
      <c r="Y174" s="782"/>
      <c r="Z174" s="781"/>
      <c r="AA174" s="777"/>
    </row>
    <row r="175" spans="1:27">
      <c r="A175" s="2112">
        <v>40</v>
      </c>
      <c r="B175" s="2313"/>
      <c r="C175" s="2313"/>
      <c r="D175" s="2317">
        <v>2027</v>
      </c>
      <c r="E175" s="2317"/>
      <c r="F175" s="2317"/>
      <c r="G175" s="2317"/>
      <c r="H175" s="2317" t="s">
        <v>309</v>
      </c>
      <c r="I175" s="2317"/>
      <c r="J175" s="2317"/>
      <c r="K175" s="2317"/>
      <c r="L175" s="2317"/>
      <c r="M175" s="2317"/>
      <c r="N175" s="2317"/>
      <c r="O175" s="2317"/>
      <c r="P175" s="2318">
        <v>60000</v>
      </c>
      <c r="Q175" s="2319"/>
      <c r="R175" s="2319"/>
      <c r="S175" s="2319"/>
      <c r="T175" s="2116">
        <f>ROUND(IPMT(($AA$3%+0.35%)/11,1,$D$219-$D$208+1,$P$220-(SUM($P$4:P174)))*-1,2)</f>
        <v>5850</v>
      </c>
      <c r="U175" s="2116"/>
      <c r="V175" s="2116"/>
      <c r="W175" s="2116"/>
      <c r="X175" s="777"/>
      <c r="Y175" s="782"/>
      <c r="Z175" s="781"/>
      <c r="AA175" s="777"/>
    </row>
    <row r="176" spans="1:27">
      <c r="A176" s="2112">
        <v>41</v>
      </c>
      <c r="B176" s="2313"/>
      <c r="C176" s="2313"/>
      <c r="D176" s="2317">
        <v>2027</v>
      </c>
      <c r="E176" s="2317"/>
      <c r="F176" s="2317"/>
      <c r="G176" s="2317"/>
      <c r="H176" s="2317" t="s">
        <v>310</v>
      </c>
      <c r="I176" s="2317"/>
      <c r="J176" s="2317"/>
      <c r="K176" s="2317"/>
      <c r="L176" s="2317"/>
      <c r="M176" s="2317"/>
      <c r="N176" s="2317"/>
      <c r="O176" s="2317"/>
      <c r="P176" s="2318">
        <v>60000</v>
      </c>
      <c r="Q176" s="2319"/>
      <c r="R176" s="2319"/>
      <c r="S176" s="2319"/>
      <c r="T176" s="2116">
        <f>ROUND(IPMT(($AA$3%+0.35%)/11,1,$D$219-$D$208+1,$P$220-(SUM($P$4:P175)))*-1,2)</f>
        <v>5700</v>
      </c>
      <c r="U176" s="2116"/>
      <c r="V176" s="2116"/>
      <c r="W176" s="2116"/>
      <c r="X176" s="777"/>
      <c r="Y176" s="782"/>
      <c r="Z176" s="781"/>
      <c r="AA176" s="777"/>
    </row>
    <row r="177" spans="1:27">
      <c r="A177" s="2112">
        <v>42</v>
      </c>
      <c r="B177" s="2313"/>
      <c r="C177" s="2313"/>
      <c r="D177" s="2317">
        <v>2027</v>
      </c>
      <c r="E177" s="2317"/>
      <c r="F177" s="2317"/>
      <c r="G177" s="2317"/>
      <c r="H177" s="2317" t="s">
        <v>311</v>
      </c>
      <c r="I177" s="2317"/>
      <c r="J177" s="2317"/>
      <c r="K177" s="2317"/>
      <c r="L177" s="2317"/>
      <c r="M177" s="2317"/>
      <c r="N177" s="2317"/>
      <c r="O177" s="2317"/>
      <c r="P177" s="2318">
        <v>60000</v>
      </c>
      <c r="Q177" s="2319"/>
      <c r="R177" s="2319"/>
      <c r="S177" s="2319"/>
      <c r="T177" s="2116">
        <f>ROUND(IPMT(($AA$3%+0.35%)/11,1,$D$219-$D$208+1,$P$220-(SUM($P$4:P176)))*-1,2)</f>
        <v>5550</v>
      </c>
      <c r="U177" s="2116"/>
      <c r="V177" s="2116"/>
      <c r="W177" s="2116"/>
      <c r="X177" s="777"/>
      <c r="Y177" s="782"/>
      <c r="Z177" s="781"/>
      <c r="AA177" s="777"/>
    </row>
    <row r="178" spans="1:27">
      <c r="A178" s="2112">
        <v>43</v>
      </c>
      <c r="B178" s="2313"/>
      <c r="C178" s="2313"/>
      <c r="D178" s="2317">
        <v>2027</v>
      </c>
      <c r="E178" s="2317"/>
      <c r="F178" s="2317"/>
      <c r="G178" s="2317"/>
      <c r="H178" s="2317" t="s">
        <v>312</v>
      </c>
      <c r="I178" s="2317"/>
      <c r="J178" s="2317"/>
      <c r="K178" s="2317"/>
      <c r="L178" s="2317"/>
      <c r="M178" s="2317"/>
      <c r="N178" s="2317"/>
      <c r="O178" s="2317"/>
      <c r="P178" s="2318">
        <v>60000</v>
      </c>
      <c r="Q178" s="2319"/>
      <c r="R178" s="2319"/>
      <c r="S178" s="2319"/>
      <c r="T178" s="2116">
        <f>ROUND(IPMT(($AA$3%+0.35%)/11,1,$D$219-$D$208+1,$P$220-(SUM($P$4:P177)))*-1,2)</f>
        <v>5400</v>
      </c>
      <c r="U178" s="2116"/>
      <c r="V178" s="2116"/>
      <c r="W178" s="2116"/>
      <c r="X178" s="777"/>
      <c r="Y178" s="782"/>
      <c r="Z178" s="781"/>
      <c r="AA178" s="777"/>
    </row>
    <row r="179" spans="1:27">
      <c r="A179" s="2112">
        <v>44</v>
      </c>
      <c r="B179" s="2313"/>
      <c r="C179" s="2313"/>
      <c r="D179" s="2317">
        <v>2027</v>
      </c>
      <c r="E179" s="2317"/>
      <c r="F179" s="2317"/>
      <c r="G179" s="2317"/>
      <c r="H179" s="2317" t="s">
        <v>313</v>
      </c>
      <c r="I179" s="2317"/>
      <c r="J179" s="2317"/>
      <c r="K179" s="2317"/>
      <c r="L179" s="2317"/>
      <c r="M179" s="2317"/>
      <c r="N179" s="2317"/>
      <c r="O179" s="2317"/>
      <c r="P179" s="2318">
        <v>60000</v>
      </c>
      <c r="Q179" s="2319"/>
      <c r="R179" s="2319"/>
      <c r="S179" s="2319"/>
      <c r="T179" s="2116">
        <f>ROUND(IPMT(($AA$3%+0.35%)/11,1,$D$219-$D$208+1,$P$220-(SUM($P$4:P178)))*-1,2)</f>
        <v>5250</v>
      </c>
      <c r="U179" s="2116"/>
      <c r="V179" s="2116"/>
      <c r="W179" s="2116"/>
      <c r="X179" s="777"/>
      <c r="Y179" s="782"/>
      <c r="Z179" s="781"/>
      <c r="AA179" s="777"/>
    </row>
    <row r="180" spans="1:27">
      <c r="A180" s="2112">
        <v>45</v>
      </c>
      <c r="B180" s="2313"/>
      <c r="C180" s="2313"/>
      <c r="D180" s="2317">
        <v>2027</v>
      </c>
      <c r="E180" s="2317"/>
      <c r="F180" s="2317"/>
      <c r="G180" s="2317"/>
      <c r="H180" s="2317" t="s">
        <v>314</v>
      </c>
      <c r="I180" s="2317"/>
      <c r="J180" s="2317"/>
      <c r="K180" s="2317"/>
      <c r="L180" s="2317"/>
      <c r="M180" s="2317"/>
      <c r="N180" s="2317"/>
      <c r="O180" s="2317"/>
      <c r="P180" s="2318">
        <v>60000</v>
      </c>
      <c r="Q180" s="2319"/>
      <c r="R180" s="2319"/>
      <c r="S180" s="2319"/>
      <c r="T180" s="2116">
        <f>ROUND(IPMT(($AA$3%+0.35%)/11,1,$D$219-$D$208+1,$P$220-(SUM($P$4:P179)))*-1,2)</f>
        <v>5100</v>
      </c>
      <c r="U180" s="2116"/>
      <c r="V180" s="2116"/>
      <c r="W180" s="2116"/>
      <c r="X180" s="777"/>
      <c r="Y180" s="782"/>
      <c r="Z180" s="781"/>
      <c r="AA180" s="777"/>
    </row>
    <row r="181" spans="1:27">
      <c r="A181" s="2112">
        <v>46</v>
      </c>
      <c r="B181" s="2313"/>
      <c r="C181" s="2313"/>
      <c r="D181" s="2317">
        <v>2027</v>
      </c>
      <c r="E181" s="2317"/>
      <c r="F181" s="2317"/>
      <c r="G181" s="2317"/>
      <c r="H181" s="2317" t="s">
        <v>315</v>
      </c>
      <c r="I181" s="2317"/>
      <c r="J181" s="2317"/>
      <c r="K181" s="2317"/>
      <c r="L181" s="2317"/>
      <c r="M181" s="2317"/>
      <c r="N181" s="2317"/>
      <c r="O181" s="2317"/>
      <c r="P181" s="2318">
        <v>60000</v>
      </c>
      <c r="Q181" s="2319"/>
      <c r="R181" s="2319"/>
      <c r="S181" s="2319"/>
      <c r="T181" s="2116">
        <f>ROUND(IPMT(($AA$3%+0.35%)/11,1,$D$219-$D$208+1,$P$220-(SUM($P$4:P180)))*-1,2)</f>
        <v>4950</v>
      </c>
      <c r="U181" s="2116"/>
      <c r="V181" s="2116"/>
      <c r="W181" s="2116"/>
      <c r="X181" s="777"/>
      <c r="Y181" s="782"/>
      <c r="Z181" s="781"/>
      <c r="AA181" s="777"/>
    </row>
    <row r="182" spans="1:27">
      <c r="A182" s="2112">
        <v>47</v>
      </c>
      <c r="B182" s="2313"/>
      <c r="C182" s="2313"/>
      <c r="D182" s="2317">
        <v>2027</v>
      </c>
      <c r="E182" s="2317"/>
      <c r="F182" s="2317"/>
      <c r="G182" s="2317"/>
      <c r="H182" s="2317" t="s">
        <v>316</v>
      </c>
      <c r="I182" s="2317"/>
      <c r="J182" s="2317"/>
      <c r="K182" s="2317"/>
      <c r="L182" s="2317"/>
      <c r="M182" s="2317"/>
      <c r="N182" s="2317"/>
      <c r="O182" s="2317"/>
      <c r="P182" s="2318">
        <v>60000</v>
      </c>
      <c r="Q182" s="2319"/>
      <c r="R182" s="2319"/>
      <c r="S182" s="2319"/>
      <c r="T182" s="2116">
        <f>ROUND(IPMT(($AA$3%+0.35%)/11,1,$D$219-$D$208+1,$P$220-(SUM($P$4:P181)))*-1,2)</f>
        <v>4800</v>
      </c>
      <c r="U182" s="2116"/>
      <c r="V182" s="2116"/>
      <c r="W182" s="2116"/>
      <c r="X182" s="777"/>
      <c r="Y182" s="782"/>
      <c r="Z182" s="781"/>
      <c r="AA182" s="777"/>
    </row>
    <row r="183" spans="1:27">
      <c r="A183" s="2112">
        <v>48</v>
      </c>
      <c r="B183" s="2313"/>
      <c r="C183" s="2313"/>
      <c r="D183" s="2317">
        <v>2027</v>
      </c>
      <c r="E183" s="2317"/>
      <c r="F183" s="2317"/>
      <c r="G183" s="2317"/>
      <c r="H183" s="2332" t="s">
        <v>317</v>
      </c>
      <c r="I183" s="2332"/>
      <c r="J183" s="2332"/>
      <c r="K183" s="2332"/>
      <c r="L183" s="2332"/>
      <c r="M183" s="2332"/>
      <c r="N183" s="2332"/>
      <c r="O183" s="2332"/>
      <c r="P183" s="2318">
        <v>60000</v>
      </c>
      <c r="Q183" s="2319"/>
      <c r="R183" s="2319"/>
      <c r="S183" s="2319"/>
      <c r="T183" s="2111">
        <f>ROUND(IPMT(($AA$3%+0.35%)/11,1,$D$219-$D$208+1,$P$220-(SUM($P$4:P182)))*-1,2)</f>
        <v>4650</v>
      </c>
      <c r="U183" s="2111"/>
      <c r="V183" s="2111"/>
      <c r="W183" s="2111"/>
      <c r="X183" s="777"/>
      <c r="Y183" s="2324">
        <f>SUM(T172:W183)</f>
        <v>66000</v>
      </c>
      <c r="Z183" s="2325"/>
      <c r="AA183" s="777"/>
    </row>
    <row r="184" spans="1:27">
      <c r="A184" s="2326">
        <v>37</v>
      </c>
      <c r="B184" s="2327"/>
      <c r="C184" s="2327"/>
      <c r="D184" s="2328">
        <v>2028</v>
      </c>
      <c r="E184" s="2328"/>
      <c r="F184" s="2328"/>
      <c r="G184" s="2328"/>
      <c r="H184" s="2328" t="s">
        <v>306</v>
      </c>
      <c r="I184" s="2328"/>
      <c r="J184" s="2328"/>
      <c r="K184" s="2328"/>
      <c r="L184" s="2328"/>
      <c r="M184" s="2328"/>
      <c r="N184" s="2328"/>
      <c r="O184" s="2328"/>
      <c r="P184" s="2329">
        <v>60000</v>
      </c>
      <c r="Q184" s="2330"/>
      <c r="R184" s="2330"/>
      <c r="S184" s="2330"/>
      <c r="T184" s="2331">
        <f>ROUND(IPMT(($AA$3%+0.35%)/11,1,$D$219-$D$88+1,$P$220-(SUM($P$4:P183)))*-1,2)</f>
        <v>4500</v>
      </c>
      <c r="U184" s="2331"/>
      <c r="V184" s="2331"/>
      <c r="W184" s="2331"/>
      <c r="X184" s="777"/>
      <c r="Y184" s="782"/>
      <c r="Z184" s="781"/>
      <c r="AA184" s="777"/>
    </row>
    <row r="185" spans="1:27">
      <c r="A185" s="2112">
        <v>38</v>
      </c>
      <c r="B185" s="2313"/>
      <c r="C185" s="2313"/>
      <c r="D185" s="2317">
        <v>2028</v>
      </c>
      <c r="E185" s="2317"/>
      <c r="F185" s="2317"/>
      <c r="G185" s="2317"/>
      <c r="H185" s="2317" t="s">
        <v>307</v>
      </c>
      <c r="I185" s="2317"/>
      <c r="J185" s="2317"/>
      <c r="K185" s="2317"/>
      <c r="L185" s="2317"/>
      <c r="M185" s="2317"/>
      <c r="N185" s="2317"/>
      <c r="O185" s="2317"/>
      <c r="P185" s="2318">
        <v>60000</v>
      </c>
      <c r="Q185" s="2319"/>
      <c r="R185" s="2319"/>
      <c r="S185" s="2319"/>
      <c r="T185" s="2116">
        <f>ROUND(IPMT(($AA$3%+0.35%)/11,1,$D$219-$D$208+1,$P$220-(SUM($P$4:P184)))*-1,2)</f>
        <v>4350</v>
      </c>
      <c r="U185" s="2116"/>
      <c r="V185" s="2116"/>
      <c r="W185" s="2116"/>
      <c r="X185" s="777"/>
      <c r="Y185" s="782"/>
      <c r="Z185" s="781"/>
      <c r="AA185" s="777"/>
    </row>
    <row r="186" spans="1:27">
      <c r="A186" s="2112">
        <v>39</v>
      </c>
      <c r="B186" s="2313"/>
      <c r="C186" s="2313"/>
      <c r="D186" s="2317">
        <v>2028</v>
      </c>
      <c r="E186" s="2317"/>
      <c r="F186" s="2317"/>
      <c r="G186" s="2317"/>
      <c r="H186" s="2317" t="s">
        <v>308</v>
      </c>
      <c r="I186" s="2317"/>
      <c r="J186" s="2317"/>
      <c r="K186" s="2317"/>
      <c r="L186" s="2317"/>
      <c r="M186" s="2317"/>
      <c r="N186" s="2317"/>
      <c r="O186" s="2317"/>
      <c r="P186" s="2318">
        <v>60000</v>
      </c>
      <c r="Q186" s="2319"/>
      <c r="R186" s="2319"/>
      <c r="S186" s="2319"/>
      <c r="T186" s="2116">
        <f>ROUND(IPMT(($AA$3%+0.35%)/11,1,$D$219-$D$208+1,$P$220-(SUM($P$4:P185)))*-1,2)</f>
        <v>4200</v>
      </c>
      <c r="U186" s="2116"/>
      <c r="V186" s="2116"/>
      <c r="W186" s="2116"/>
      <c r="X186" s="777"/>
      <c r="Y186" s="782"/>
      <c r="Z186" s="781"/>
      <c r="AA186" s="777"/>
    </row>
    <row r="187" spans="1:27">
      <c r="A187" s="2112">
        <v>40</v>
      </c>
      <c r="B187" s="2313"/>
      <c r="C187" s="2313"/>
      <c r="D187" s="2317">
        <v>2028</v>
      </c>
      <c r="E187" s="2317"/>
      <c r="F187" s="2317"/>
      <c r="G187" s="2317"/>
      <c r="H187" s="2317" t="s">
        <v>309</v>
      </c>
      <c r="I187" s="2317"/>
      <c r="J187" s="2317"/>
      <c r="K187" s="2317"/>
      <c r="L187" s="2317"/>
      <c r="M187" s="2317"/>
      <c r="N187" s="2317"/>
      <c r="O187" s="2317"/>
      <c r="P187" s="2318">
        <v>60000</v>
      </c>
      <c r="Q187" s="2319"/>
      <c r="R187" s="2319"/>
      <c r="S187" s="2319"/>
      <c r="T187" s="2116">
        <f>ROUND(IPMT(($AA$3%+0.35%)/11,1,$D$219-$D$208+1,$P$220-(SUM($P$4:P186)))*-1,2)</f>
        <v>4050</v>
      </c>
      <c r="U187" s="2116"/>
      <c r="V187" s="2116"/>
      <c r="W187" s="2116"/>
      <c r="X187" s="777"/>
      <c r="Y187" s="782"/>
      <c r="Z187" s="781"/>
      <c r="AA187" s="777"/>
    </row>
    <row r="188" spans="1:27">
      <c r="A188" s="2112">
        <v>41</v>
      </c>
      <c r="B188" s="2313"/>
      <c r="C188" s="2313"/>
      <c r="D188" s="2317">
        <v>2028</v>
      </c>
      <c r="E188" s="2317"/>
      <c r="F188" s="2317"/>
      <c r="G188" s="2317"/>
      <c r="H188" s="2317" t="s">
        <v>310</v>
      </c>
      <c r="I188" s="2317"/>
      <c r="J188" s="2317"/>
      <c r="K188" s="2317"/>
      <c r="L188" s="2317"/>
      <c r="M188" s="2317"/>
      <c r="N188" s="2317"/>
      <c r="O188" s="2317"/>
      <c r="P188" s="2318">
        <v>60000</v>
      </c>
      <c r="Q188" s="2319"/>
      <c r="R188" s="2319"/>
      <c r="S188" s="2319"/>
      <c r="T188" s="2116">
        <f>ROUND(IPMT(($AA$3%+0.35%)/11,1,$D$219-$D$208+1,$P$220-(SUM($P$4:P187)))*-1,2)</f>
        <v>3900</v>
      </c>
      <c r="U188" s="2116"/>
      <c r="V188" s="2116"/>
      <c r="W188" s="2116"/>
      <c r="X188" s="777"/>
      <c r="Y188" s="782"/>
      <c r="Z188" s="781"/>
      <c r="AA188" s="777"/>
    </row>
    <row r="189" spans="1:27">
      <c r="A189" s="2112">
        <v>42</v>
      </c>
      <c r="B189" s="2313"/>
      <c r="C189" s="2313"/>
      <c r="D189" s="2317">
        <v>2028</v>
      </c>
      <c r="E189" s="2317"/>
      <c r="F189" s="2317"/>
      <c r="G189" s="2317"/>
      <c r="H189" s="2317" t="s">
        <v>311</v>
      </c>
      <c r="I189" s="2317"/>
      <c r="J189" s="2317"/>
      <c r="K189" s="2317"/>
      <c r="L189" s="2317"/>
      <c r="M189" s="2317"/>
      <c r="N189" s="2317"/>
      <c r="O189" s="2317"/>
      <c r="P189" s="2318">
        <v>60000</v>
      </c>
      <c r="Q189" s="2319"/>
      <c r="R189" s="2319"/>
      <c r="S189" s="2319"/>
      <c r="T189" s="2116">
        <f>ROUND(IPMT(($AA$3%+0.35%)/11,1,$D$219-$D$208+1,$P$220-(SUM($P$4:P188)))*-1,2)</f>
        <v>3750</v>
      </c>
      <c r="U189" s="2116"/>
      <c r="V189" s="2116"/>
      <c r="W189" s="2116"/>
      <c r="X189" s="777"/>
      <c r="Y189" s="782"/>
      <c r="Z189" s="781"/>
      <c r="AA189" s="777"/>
    </row>
    <row r="190" spans="1:27">
      <c r="A190" s="2112">
        <v>43</v>
      </c>
      <c r="B190" s="2313"/>
      <c r="C190" s="2313"/>
      <c r="D190" s="2317">
        <v>2028</v>
      </c>
      <c r="E190" s="2317"/>
      <c r="F190" s="2317"/>
      <c r="G190" s="2317"/>
      <c r="H190" s="2317" t="s">
        <v>312</v>
      </c>
      <c r="I190" s="2317"/>
      <c r="J190" s="2317"/>
      <c r="K190" s="2317"/>
      <c r="L190" s="2317"/>
      <c r="M190" s="2317"/>
      <c r="N190" s="2317"/>
      <c r="O190" s="2317"/>
      <c r="P190" s="2318">
        <v>60000</v>
      </c>
      <c r="Q190" s="2319"/>
      <c r="R190" s="2319"/>
      <c r="S190" s="2319"/>
      <c r="T190" s="2116">
        <f>ROUND(IPMT(($AA$3%+0.35%)/11,1,$D$219-$D$208+1,$P$220-(SUM($P$4:P189)))*-1,2)</f>
        <v>3600</v>
      </c>
      <c r="U190" s="2116"/>
      <c r="V190" s="2116"/>
      <c r="W190" s="2116"/>
      <c r="X190" s="777"/>
      <c r="Y190" s="782"/>
      <c r="Z190" s="781"/>
      <c r="AA190" s="777"/>
    </row>
    <row r="191" spans="1:27">
      <c r="A191" s="2112">
        <v>44</v>
      </c>
      <c r="B191" s="2313"/>
      <c r="C191" s="2313"/>
      <c r="D191" s="2317">
        <v>2028</v>
      </c>
      <c r="E191" s="2317"/>
      <c r="F191" s="2317"/>
      <c r="G191" s="2317"/>
      <c r="H191" s="2317" t="s">
        <v>313</v>
      </c>
      <c r="I191" s="2317"/>
      <c r="J191" s="2317"/>
      <c r="K191" s="2317"/>
      <c r="L191" s="2317"/>
      <c r="M191" s="2317"/>
      <c r="N191" s="2317"/>
      <c r="O191" s="2317"/>
      <c r="P191" s="2318">
        <v>60000</v>
      </c>
      <c r="Q191" s="2319"/>
      <c r="R191" s="2319"/>
      <c r="S191" s="2319"/>
      <c r="T191" s="2116">
        <f>ROUND(IPMT(($AA$3%+0.35%)/11,1,$D$219-$D$208+1,$P$220-(SUM($P$4:P190)))*-1,2)</f>
        <v>3450</v>
      </c>
      <c r="U191" s="2116"/>
      <c r="V191" s="2116"/>
      <c r="W191" s="2116"/>
      <c r="X191" s="777"/>
      <c r="Y191" s="782"/>
      <c r="Z191" s="781"/>
      <c r="AA191" s="777"/>
    </row>
    <row r="192" spans="1:27">
      <c r="A192" s="2112">
        <v>45</v>
      </c>
      <c r="B192" s="2313"/>
      <c r="C192" s="2313"/>
      <c r="D192" s="2317">
        <v>2028</v>
      </c>
      <c r="E192" s="2317"/>
      <c r="F192" s="2317"/>
      <c r="G192" s="2317"/>
      <c r="H192" s="2317" t="s">
        <v>314</v>
      </c>
      <c r="I192" s="2317"/>
      <c r="J192" s="2317"/>
      <c r="K192" s="2317"/>
      <c r="L192" s="2317"/>
      <c r="M192" s="2317"/>
      <c r="N192" s="2317"/>
      <c r="O192" s="2317"/>
      <c r="P192" s="2318">
        <v>60000</v>
      </c>
      <c r="Q192" s="2319"/>
      <c r="R192" s="2319"/>
      <c r="S192" s="2319"/>
      <c r="T192" s="2116">
        <f>ROUND(IPMT(($AA$3%+0.35%)/11,1,$D$219-$D$208+1,$P$220-(SUM($P$4:P191)))*-1,2)</f>
        <v>3300</v>
      </c>
      <c r="U192" s="2116"/>
      <c r="V192" s="2116"/>
      <c r="W192" s="2116"/>
      <c r="X192" s="777"/>
      <c r="Y192" s="782"/>
      <c r="Z192" s="781"/>
      <c r="AA192" s="777"/>
    </row>
    <row r="193" spans="1:27">
      <c r="A193" s="2112">
        <v>46</v>
      </c>
      <c r="B193" s="2313"/>
      <c r="C193" s="2313"/>
      <c r="D193" s="2317">
        <v>2028</v>
      </c>
      <c r="E193" s="2317"/>
      <c r="F193" s="2317"/>
      <c r="G193" s="2317"/>
      <c r="H193" s="2317" t="s">
        <v>315</v>
      </c>
      <c r="I193" s="2317"/>
      <c r="J193" s="2317"/>
      <c r="K193" s="2317"/>
      <c r="L193" s="2317"/>
      <c r="M193" s="2317"/>
      <c r="N193" s="2317"/>
      <c r="O193" s="2317"/>
      <c r="P193" s="2318">
        <v>60000</v>
      </c>
      <c r="Q193" s="2319"/>
      <c r="R193" s="2319"/>
      <c r="S193" s="2319"/>
      <c r="T193" s="2116">
        <f>ROUND(IPMT(($AA$3%+0.35%)/11,1,$D$219-$D$208+1,$P$220-(SUM($P$4:P192)))*-1,2)</f>
        <v>3150</v>
      </c>
      <c r="U193" s="2116"/>
      <c r="V193" s="2116"/>
      <c r="W193" s="2116"/>
      <c r="X193" s="777"/>
      <c r="Y193" s="782"/>
      <c r="Z193" s="781"/>
      <c r="AA193" s="777"/>
    </row>
    <row r="194" spans="1:27">
      <c r="A194" s="2112">
        <v>47</v>
      </c>
      <c r="B194" s="2313"/>
      <c r="C194" s="2313"/>
      <c r="D194" s="2317">
        <v>2028</v>
      </c>
      <c r="E194" s="2317"/>
      <c r="F194" s="2317"/>
      <c r="G194" s="2317"/>
      <c r="H194" s="2317" t="s">
        <v>316</v>
      </c>
      <c r="I194" s="2317"/>
      <c r="J194" s="2317"/>
      <c r="K194" s="2317"/>
      <c r="L194" s="2317"/>
      <c r="M194" s="2317"/>
      <c r="N194" s="2317"/>
      <c r="O194" s="2317"/>
      <c r="P194" s="2318">
        <v>60000</v>
      </c>
      <c r="Q194" s="2319"/>
      <c r="R194" s="2319"/>
      <c r="S194" s="2319"/>
      <c r="T194" s="2116">
        <f>ROUND(IPMT(($AA$3%+0.35%)/11,1,$D$219-$D$208+1,$P$220-(SUM($P$4:P193)))*-1,2)</f>
        <v>3000</v>
      </c>
      <c r="U194" s="2116"/>
      <c r="V194" s="2116"/>
      <c r="W194" s="2116"/>
      <c r="X194" s="777"/>
      <c r="Y194" s="782"/>
      <c r="Z194" s="781"/>
      <c r="AA194" s="777"/>
    </row>
    <row r="195" spans="1:27">
      <c r="A195" s="2112">
        <v>48</v>
      </c>
      <c r="B195" s="2313"/>
      <c r="C195" s="2313"/>
      <c r="D195" s="2317">
        <v>2028</v>
      </c>
      <c r="E195" s="2317"/>
      <c r="F195" s="2317"/>
      <c r="G195" s="2317"/>
      <c r="H195" s="2332" t="s">
        <v>317</v>
      </c>
      <c r="I195" s="2332"/>
      <c r="J195" s="2332"/>
      <c r="K195" s="2332"/>
      <c r="L195" s="2332"/>
      <c r="M195" s="2332"/>
      <c r="N195" s="2332"/>
      <c r="O195" s="2332"/>
      <c r="P195" s="2318">
        <v>60000</v>
      </c>
      <c r="Q195" s="2319"/>
      <c r="R195" s="2319"/>
      <c r="S195" s="2319"/>
      <c r="T195" s="2111">
        <f>ROUND(IPMT(($AA$3%+0.35%)/11,1,$D$219-$D$208+1,$P$220-(SUM($P$4:P194)))*-1,2)</f>
        <v>2850</v>
      </c>
      <c r="U195" s="2111"/>
      <c r="V195" s="2111"/>
      <c r="W195" s="2111"/>
      <c r="X195" s="777"/>
      <c r="Y195" s="2324">
        <f>SUM(T184:W195)</f>
        <v>44100</v>
      </c>
      <c r="Z195" s="2325"/>
      <c r="AA195" s="777"/>
    </row>
    <row r="196" spans="1:27">
      <c r="A196" s="2112">
        <v>37</v>
      </c>
      <c r="B196" s="2313"/>
      <c r="C196" s="2313"/>
      <c r="D196" s="2317">
        <v>2029</v>
      </c>
      <c r="E196" s="2317"/>
      <c r="F196" s="2317"/>
      <c r="G196" s="2317"/>
      <c r="H196" s="2317" t="s">
        <v>306</v>
      </c>
      <c r="I196" s="2317"/>
      <c r="J196" s="2317"/>
      <c r="K196" s="2317"/>
      <c r="L196" s="2317"/>
      <c r="M196" s="2317"/>
      <c r="N196" s="2317"/>
      <c r="O196" s="2317"/>
      <c r="P196" s="2318">
        <v>60000</v>
      </c>
      <c r="Q196" s="2319"/>
      <c r="R196" s="2319"/>
      <c r="S196" s="2319"/>
      <c r="T196" s="2116">
        <f>ROUND(IPMT(($AA$3%+0.35%)/11,1,$D$219-$D$88+1,$P$220-(SUM($P$4:P195)))*-1,2)</f>
        <v>2700</v>
      </c>
      <c r="U196" s="2116"/>
      <c r="V196" s="2116"/>
      <c r="W196" s="2116"/>
      <c r="X196" s="777"/>
      <c r="Y196" s="782"/>
      <c r="Z196" s="781"/>
      <c r="AA196" s="777"/>
    </row>
    <row r="197" spans="1:27">
      <c r="A197" s="2326">
        <v>38</v>
      </c>
      <c r="B197" s="2327"/>
      <c r="C197" s="2327"/>
      <c r="D197" s="2328">
        <v>2029</v>
      </c>
      <c r="E197" s="2328"/>
      <c r="F197" s="2328"/>
      <c r="G197" s="2328"/>
      <c r="H197" s="2328" t="s">
        <v>307</v>
      </c>
      <c r="I197" s="2328"/>
      <c r="J197" s="2328"/>
      <c r="K197" s="2328"/>
      <c r="L197" s="2328"/>
      <c r="M197" s="2328"/>
      <c r="N197" s="2328"/>
      <c r="O197" s="2328"/>
      <c r="P197" s="2329">
        <v>60000</v>
      </c>
      <c r="Q197" s="2330"/>
      <c r="R197" s="2330"/>
      <c r="S197" s="2330"/>
      <c r="T197" s="2331">
        <f>ROUND(IPMT(($AA$3%+0.35%)/11,1,$D$219-$D$208+1,$P$220-(SUM($P$4:P196)))*-1,2)</f>
        <v>2550</v>
      </c>
      <c r="U197" s="2331"/>
      <c r="V197" s="2331"/>
      <c r="W197" s="2331"/>
      <c r="X197" s="777"/>
      <c r="Y197" s="782"/>
      <c r="Z197" s="781"/>
      <c r="AA197" s="777"/>
    </row>
    <row r="198" spans="1:27">
      <c r="A198" s="2112">
        <v>39</v>
      </c>
      <c r="B198" s="2313"/>
      <c r="C198" s="2313"/>
      <c r="D198" s="2317">
        <v>2029</v>
      </c>
      <c r="E198" s="2317"/>
      <c r="F198" s="2317"/>
      <c r="G198" s="2317"/>
      <c r="H198" s="2317" t="s">
        <v>308</v>
      </c>
      <c r="I198" s="2317"/>
      <c r="J198" s="2317"/>
      <c r="K198" s="2317"/>
      <c r="L198" s="2317"/>
      <c r="M198" s="2317"/>
      <c r="N198" s="2317"/>
      <c r="O198" s="2317"/>
      <c r="P198" s="2318">
        <v>60000</v>
      </c>
      <c r="Q198" s="2319"/>
      <c r="R198" s="2319"/>
      <c r="S198" s="2319"/>
      <c r="T198" s="2116">
        <f>ROUND(IPMT(($AA$3%+0.35%)/11,1,$D$219-$D$208+1,$P$220-(SUM($P$4:P197)))*-1,2)</f>
        <v>2400</v>
      </c>
      <c r="U198" s="2116"/>
      <c r="V198" s="2116"/>
      <c r="W198" s="2116"/>
      <c r="X198" s="777"/>
      <c r="Y198" s="782"/>
      <c r="Z198" s="781"/>
      <c r="AA198" s="777"/>
    </row>
    <row r="199" spans="1:27">
      <c r="A199" s="2112">
        <v>40</v>
      </c>
      <c r="B199" s="2313"/>
      <c r="C199" s="2313"/>
      <c r="D199" s="2317">
        <v>2029</v>
      </c>
      <c r="E199" s="2317"/>
      <c r="F199" s="2317"/>
      <c r="G199" s="2317"/>
      <c r="H199" s="2317" t="s">
        <v>309</v>
      </c>
      <c r="I199" s="2317"/>
      <c r="J199" s="2317"/>
      <c r="K199" s="2317"/>
      <c r="L199" s="2317"/>
      <c r="M199" s="2317"/>
      <c r="N199" s="2317"/>
      <c r="O199" s="2317"/>
      <c r="P199" s="2318">
        <v>60000</v>
      </c>
      <c r="Q199" s="2319"/>
      <c r="R199" s="2319"/>
      <c r="S199" s="2319"/>
      <c r="T199" s="2116">
        <f>ROUND(IPMT(($AA$3%+0.35%)/11,1,$D$219-$D$208+1,$P$220-(SUM($P$4:P198)))*-1,2)</f>
        <v>2250</v>
      </c>
      <c r="U199" s="2116"/>
      <c r="V199" s="2116"/>
      <c r="W199" s="2116"/>
      <c r="X199" s="777"/>
      <c r="Y199" s="782"/>
      <c r="Z199" s="781"/>
      <c r="AA199" s="777"/>
    </row>
    <row r="200" spans="1:27">
      <c r="A200" s="2112">
        <v>41</v>
      </c>
      <c r="B200" s="2313"/>
      <c r="C200" s="2313"/>
      <c r="D200" s="2317">
        <v>2029</v>
      </c>
      <c r="E200" s="2317"/>
      <c r="F200" s="2317"/>
      <c r="G200" s="2317"/>
      <c r="H200" s="2317" t="s">
        <v>310</v>
      </c>
      <c r="I200" s="2317"/>
      <c r="J200" s="2317"/>
      <c r="K200" s="2317"/>
      <c r="L200" s="2317"/>
      <c r="M200" s="2317"/>
      <c r="N200" s="2317"/>
      <c r="O200" s="2317"/>
      <c r="P200" s="2318">
        <v>60000</v>
      </c>
      <c r="Q200" s="2319"/>
      <c r="R200" s="2319"/>
      <c r="S200" s="2319"/>
      <c r="T200" s="2116">
        <f>ROUND(IPMT(($AA$3%+0.35%)/11,1,$D$219-$D$208+1,$P$220-(SUM($P$4:P199)))*-1,2)</f>
        <v>2100</v>
      </c>
      <c r="U200" s="2116"/>
      <c r="V200" s="2116"/>
      <c r="W200" s="2116"/>
      <c r="X200" s="777"/>
      <c r="Y200" s="782"/>
      <c r="Z200" s="781"/>
      <c r="AA200" s="777"/>
    </row>
    <row r="201" spans="1:27">
      <c r="A201" s="2112">
        <v>42</v>
      </c>
      <c r="B201" s="2313"/>
      <c r="C201" s="2313"/>
      <c r="D201" s="2317">
        <v>2029</v>
      </c>
      <c r="E201" s="2317"/>
      <c r="F201" s="2317"/>
      <c r="G201" s="2317"/>
      <c r="H201" s="2317" t="s">
        <v>311</v>
      </c>
      <c r="I201" s="2317"/>
      <c r="J201" s="2317"/>
      <c r="K201" s="2317"/>
      <c r="L201" s="2317"/>
      <c r="M201" s="2317"/>
      <c r="N201" s="2317"/>
      <c r="O201" s="2317"/>
      <c r="P201" s="2318">
        <v>60000</v>
      </c>
      <c r="Q201" s="2319"/>
      <c r="R201" s="2319"/>
      <c r="S201" s="2319"/>
      <c r="T201" s="2116">
        <f>ROUND(IPMT(($AA$3%+0.35%)/11,1,$D$219-$D$208+1,$P$220-(SUM($P$4:P200)))*-1,2)</f>
        <v>1950</v>
      </c>
      <c r="U201" s="2116"/>
      <c r="V201" s="2116"/>
      <c r="W201" s="2116"/>
      <c r="X201" s="777"/>
      <c r="Y201" s="782"/>
      <c r="Z201" s="781"/>
      <c r="AA201" s="777"/>
    </row>
    <row r="202" spans="1:27">
      <c r="A202" s="2112">
        <v>43</v>
      </c>
      <c r="B202" s="2313"/>
      <c r="C202" s="2313"/>
      <c r="D202" s="2317">
        <v>2029</v>
      </c>
      <c r="E202" s="2317"/>
      <c r="F202" s="2317"/>
      <c r="G202" s="2317"/>
      <c r="H202" s="2317" t="s">
        <v>312</v>
      </c>
      <c r="I202" s="2317"/>
      <c r="J202" s="2317"/>
      <c r="K202" s="2317"/>
      <c r="L202" s="2317"/>
      <c r="M202" s="2317"/>
      <c r="N202" s="2317"/>
      <c r="O202" s="2317"/>
      <c r="P202" s="2318">
        <v>60000</v>
      </c>
      <c r="Q202" s="2319"/>
      <c r="R202" s="2319"/>
      <c r="S202" s="2319"/>
      <c r="T202" s="2116">
        <f>ROUND(IPMT(($AA$3%+0.35%)/11,1,$D$219-$D$208+1,$P$220-(SUM($P$4:P201)))*-1,2)</f>
        <v>1800</v>
      </c>
      <c r="U202" s="2116"/>
      <c r="V202" s="2116"/>
      <c r="W202" s="2116"/>
      <c r="X202" s="777"/>
      <c r="Y202" s="782"/>
      <c r="Z202" s="781"/>
      <c r="AA202" s="777"/>
    </row>
    <row r="203" spans="1:27">
      <c r="A203" s="2112">
        <v>44</v>
      </c>
      <c r="B203" s="2313"/>
      <c r="C203" s="2313"/>
      <c r="D203" s="2317">
        <v>2029</v>
      </c>
      <c r="E203" s="2317"/>
      <c r="F203" s="2317"/>
      <c r="G203" s="2317"/>
      <c r="H203" s="2317" t="s">
        <v>313</v>
      </c>
      <c r="I203" s="2317"/>
      <c r="J203" s="2317"/>
      <c r="K203" s="2317"/>
      <c r="L203" s="2317"/>
      <c r="M203" s="2317"/>
      <c r="N203" s="2317"/>
      <c r="O203" s="2317"/>
      <c r="P203" s="2318">
        <v>60000</v>
      </c>
      <c r="Q203" s="2319"/>
      <c r="R203" s="2319"/>
      <c r="S203" s="2319"/>
      <c r="T203" s="2116">
        <f>ROUND(IPMT(($AA$3%+0.35%)/11,1,$D$219-$D$208+1,$P$220-(SUM($P$4:P202)))*-1,2)</f>
        <v>1650</v>
      </c>
      <c r="U203" s="2116"/>
      <c r="V203" s="2116"/>
      <c r="W203" s="2116"/>
      <c r="X203" s="777"/>
      <c r="Y203" s="782"/>
      <c r="Z203" s="781"/>
      <c r="AA203" s="777"/>
    </row>
    <row r="204" spans="1:27">
      <c r="A204" s="2112">
        <v>45</v>
      </c>
      <c r="B204" s="2313"/>
      <c r="C204" s="2313"/>
      <c r="D204" s="2317">
        <v>2029</v>
      </c>
      <c r="E204" s="2317"/>
      <c r="F204" s="2317"/>
      <c r="G204" s="2317"/>
      <c r="H204" s="2317" t="s">
        <v>314</v>
      </c>
      <c r="I204" s="2317"/>
      <c r="J204" s="2317"/>
      <c r="K204" s="2317"/>
      <c r="L204" s="2317"/>
      <c r="M204" s="2317"/>
      <c r="N204" s="2317"/>
      <c r="O204" s="2317"/>
      <c r="P204" s="2318">
        <v>60000</v>
      </c>
      <c r="Q204" s="2319"/>
      <c r="R204" s="2319"/>
      <c r="S204" s="2319"/>
      <c r="T204" s="2116">
        <f>ROUND(IPMT(($AA$3%+0.35%)/11,1,$D$219-$D$208+1,$P$220-(SUM($P$4:P203)))*-1,2)</f>
        <v>1500</v>
      </c>
      <c r="U204" s="2116"/>
      <c r="V204" s="2116"/>
      <c r="W204" s="2116"/>
      <c r="X204" s="777"/>
      <c r="Y204" s="782"/>
      <c r="Z204" s="781"/>
      <c r="AA204" s="777"/>
    </row>
    <row r="205" spans="1:27">
      <c r="A205" s="2112">
        <v>46</v>
      </c>
      <c r="B205" s="2313"/>
      <c r="C205" s="2313"/>
      <c r="D205" s="2317">
        <v>2029</v>
      </c>
      <c r="E205" s="2317"/>
      <c r="F205" s="2317"/>
      <c r="G205" s="2317"/>
      <c r="H205" s="2317" t="s">
        <v>315</v>
      </c>
      <c r="I205" s="2317"/>
      <c r="J205" s="2317"/>
      <c r="K205" s="2317"/>
      <c r="L205" s="2317"/>
      <c r="M205" s="2317"/>
      <c r="N205" s="2317"/>
      <c r="O205" s="2317"/>
      <c r="P205" s="2318">
        <v>60000</v>
      </c>
      <c r="Q205" s="2319"/>
      <c r="R205" s="2319"/>
      <c r="S205" s="2319"/>
      <c r="T205" s="2116">
        <f>ROUND(IPMT(($AA$3%+0.35%)/11,1,$D$219-$D$208+1,$P$220-(SUM($P$4:P204)))*-1,2)</f>
        <v>1350</v>
      </c>
      <c r="U205" s="2116"/>
      <c r="V205" s="2116"/>
      <c r="W205" s="2116"/>
      <c r="X205" s="777"/>
      <c r="Y205" s="782"/>
      <c r="Z205" s="781"/>
      <c r="AA205" s="777"/>
    </row>
    <row r="206" spans="1:27">
      <c r="A206" s="2112">
        <v>47</v>
      </c>
      <c r="B206" s="2313"/>
      <c r="C206" s="2313"/>
      <c r="D206" s="2317">
        <v>2029</v>
      </c>
      <c r="E206" s="2317"/>
      <c r="F206" s="2317"/>
      <c r="G206" s="2317"/>
      <c r="H206" s="2317" t="s">
        <v>316</v>
      </c>
      <c r="I206" s="2317"/>
      <c r="J206" s="2317"/>
      <c r="K206" s="2317"/>
      <c r="L206" s="2317"/>
      <c r="M206" s="2317"/>
      <c r="N206" s="2317"/>
      <c r="O206" s="2317"/>
      <c r="P206" s="2318">
        <v>60000</v>
      </c>
      <c r="Q206" s="2319"/>
      <c r="R206" s="2319"/>
      <c r="S206" s="2319"/>
      <c r="T206" s="2116">
        <f>ROUND(IPMT(($AA$3%+0.35%)/11,1,$D$219-$D$208+1,$P$220-(SUM($P$4:P205)))*-1,2)</f>
        <v>1200</v>
      </c>
      <c r="U206" s="2116"/>
      <c r="V206" s="2116"/>
      <c r="W206" s="2116"/>
      <c r="X206" s="777"/>
      <c r="Y206" s="782"/>
      <c r="Z206" s="781"/>
      <c r="AA206" s="777"/>
    </row>
    <row r="207" spans="1:27">
      <c r="A207" s="2112">
        <v>48</v>
      </c>
      <c r="B207" s="2313"/>
      <c r="C207" s="2313"/>
      <c r="D207" s="2317">
        <v>2029</v>
      </c>
      <c r="E207" s="2317"/>
      <c r="F207" s="2317"/>
      <c r="G207" s="2317"/>
      <c r="H207" s="2332" t="s">
        <v>317</v>
      </c>
      <c r="I207" s="2332"/>
      <c r="J207" s="2332"/>
      <c r="K207" s="2332"/>
      <c r="L207" s="2332"/>
      <c r="M207" s="2332"/>
      <c r="N207" s="2332"/>
      <c r="O207" s="2332"/>
      <c r="P207" s="2318">
        <v>60000</v>
      </c>
      <c r="Q207" s="2319"/>
      <c r="R207" s="2319"/>
      <c r="S207" s="2319"/>
      <c r="T207" s="2111">
        <f>ROUND(IPMT(($AA$3%+0.35%)/11,1,$D$219-$D$208+1,$P$220-(SUM($P$4:P206)))*-1,2)</f>
        <v>1050</v>
      </c>
      <c r="U207" s="2111"/>
      <c r="V207" s="2111"/>
      <c r="W207" s="2111"/>
      <c r="X207" s="777"/>
      <c r="Y207" s="2324">
        <f>SUM(T196:W207)</f>
        <v>22500</v>
      </c>
      <c r="Z207" s="2325"/>
      <c r="AA207" s="777"/>
    </row>
    <row r="208" spans="1:27">
      <c r="A208" s="2326">
        <v>37</v>
      </c>
      <c r="B208" s="2327"/>
      <c r="C208" s="2327"/>
      <c r="D208" s="2328">
        <v>2030</v>
      </c>
      <c r="E208" s="2328"/>
      <c r="F208" s="2328"/>
      <c r="G208" s="2328"/>
      <c r="H208" s="2328" t="s">
        <v>306</v>
      </c>
      <c r="I208" s="2328"/>
      <c r="J208" s="2328"/>
      <c r="K208" s="2328"/>
      <c r="L208" s="2328"/>
      <c r="M208" s="2328"/>
      <c r="N208" s="2328"/>
      <c r="O208" s="2328"/>
      <c r="P208" s="2329">
        <v>60000</v>
      </c>
      <c r="Q208" s="2330"/>
      <c r="R208" s="2330"/>
      <c r="S208" s="2330"/>
      <c r="T208" s="2331">
        <f>ROUND(IPMT(($AA$3%+0.35%)/11,1,$D$219-$D$88+1,$P$220-(SUM($P$4:P207)))*-1,2)</f>
        <v>900</v>
      </c>
      <c r="U208" s="2331"/>
      <c r="V208" s="2331"/>
      <c r="W208" s="2331"/>
      <c r="X208" s="777"/>
      <c r="Y208" s="777"/>
      <c r="Z208" s="777"/>
      <c r="AA208" s="777"/>
    </row>
    <row r="209" spans="1:27">
      <c r="A209" s="2112">
        <v>38</v>
      </c>
      <c r="B209" s="2313"/>
      <c r="C209" s="2313"/>
      <c r="D209" s="2317">
        <f>$D$208</f>
        <v>2030</v>
      </c>
      <c r="E209" s="2317"/>
      <c r="F209" s="2317"/>
      <c r="G209" s="2317"/>
      <c r="H209" s="2317" t="s">
        <v>307</v>
      </c>
      <c r="I209" s="2317"/>
      <c r="J209" s="2317"/>
      <c r="K209" s="2317"/>
      <c r="L209" s="2317"/>
      <c r="M209" s="2317"/>
      <c r="N209" s="2317"/>
      <c r="O209" s="2317"/>
      <c r="P209" s="2318">
        <v>60000</v>
      </c>
      <c r="Q209" s="2319"/>
      <c r="R209" s="2319"/>
      <c r="S209" s="2319"/>
      <c r="T209" s="2116">
        <f>ROUND(IPMT(($AA$3%+0.35%)/11,1,$D$219-$D$208+1,$P$220-(SUM($P$4:P208)))*-1,2)</f>
        <v>750</v>
      </c>
      <c r="U209" s="2116"/>
      <c r="V209" s="2116"/>
      <c r="W209" s="2116"/>
      <c r="X209" s="777"/>
      <c r="Y209" s="777"/>
      <c r="Z209" s="777"/>
      <c r="AA209" s="777"/>
    </row>
    <row r="210" spans="1:27">
      <c r="A210" s="2112">
        <v>39</v>
      </c>
      <c r="B210" s="2313"/>
      <c r="C210" s="2313"/>
      <c r="D210" s="2317">
        <f t="shared" ref="D210:D219" si="11">$D$208</f>
        <v>2030</v>
      </c>
      <c r="E210" s="2317"/>
      <c r="F210" s="2317"/>
      <c r="G210" s="2317"/>
      <c r="H210" s="2317" t="s">
        <v>308</v>
      </c>
      <c r="I210" s="2317"/>
      <c r="J210" s="2317"/>
      <c r="K210" s="2317"/>
      <c r="L210" s="2317"/>
      <c r="M210" s="2317"/>
      <c r="N210" s="2317"/>
      <c r="O210" s="2317"/>
      <c r="P210" s="2318">
        <v>60000</v>
      </c>
      <c r="Q210" s="2319"/>
      <c r="R210" s="2319"/>
      <c r="S210" s="2319"/>
      <c r="T210" s="2116">
        <f>ROUND(IPMT(($AA$3%+0.35%)/11,1,$D$219-$D$208+1,$P$220-(SUM($P$4:P209)))*-1,2)</f>
        <v>600</v>
      </c>
      <c r="U210" s="2116"/>
      <c r="V210" s="2116"/>
      <c r="W210" s="2116"/>
      <c r="X210" s="777"/>
      <c r="Y210" s="777"/>
      <c r="Z210" s="777"/>
      <c r="AA210" s="777"/>
    </row>
    <row r="211" spans="1:27">
      <c r="A211" s="2112">
        <v>40</v>
      </c>
      <c r="B211" s="2313"/>
      <c r="C211" s="2313"/>
      <c r="D211" s="2317">
        <f t="shared" si="11"/>
        <v>2030</v>
      </c>
      <c r="E211" s="2317"/>
      <c r="F211" s="2317"/>
      <c r="G211" s="2317"/>
      <c r="H211" s="2317" t="s">
        <v>309</v>
      </c>
      <c r="I211" s="2317"/>
      <c r="J211" s="2317"/>
      <c r="K211" s="2317"/>
      <c r="L211" s="2317"/>
      <c r="M211" s="2317"/>
      <c r="N211" s="2317"/>
      <c r="O211" s="2317"/>
      <c r="P211" s="2318">
        <v>60000</v>
      </c>
      <c r="Q211" s="2319"/>
      <c r="R211" s="2319"/>
      <c r="S211" s="2319"/>
      <c r="T211" s="2116">
        <f>ROUND(IPMT(($AA$3%+0.35%)/11,1,$D$219-$D$208+1,$P$220-(SUM($P$4:P210)))*-1,2)</f>
        <v>450</v>
      </c>
      <c r="U211" s="2116"/>
      <c r="V211" s="2116"/>
      <c r="W211" s="2116"/>
      <c r="X211" s="777"/>
      <c r="Y211" s="777"/>
      <c r="Z211" s="777"/>
      <c r="AA211" s="777"/>
    </row>
    <row r="212" spans="1:27">
      <c r="A212" s="2112">
        <v>41</v>
      </c>
      <c r="B212" s="2313"/>
      <c r="C212" s="2313"/>
      <c r="D212" s="2317">
        <f t="shared" si="11"/>
        <v>2030</v>
      </c>
      <c r="E212" s="2317"/>
      <c r="F212" s="2317"/>
      <c r="G212" s="2317"/>
      <c r="H212" s="2317" t="s">
        <v>310</v>
      </c>
      <c r="I212" s="2317"/>
      <c r="J212" s="2317"/>
      <c r="K212" s="2317"/>
      <c r="L212" s="2317"/>
      <c r="M212" s="2317"/>
      <c r="N212" s="2317"/>
      <c r="O212" s="2317"/>
      <c r="P212" s="2318">
        <v>60000</v>
      </c>
      <c r="Q212" s="2319"/>
      <c r="R212" s="2319"/>
      <c r="S212" s="2319"/>
      <c r="T212" s="2116">
        <f>ROUND(IPMT(($AA$3%+0.35%)/11,1,$D$219-$D$208+1,$P$220-(SUM($P$4:P211)))*-1,2)</f>
        <v>300</v>
      </c>
      <c r="U212" s="2116"/>
      <c r="V212" s="2116"/>
      <c r="W212" s="2116"/>
      <c r="X212" s="777"/>
      <c r="Y212" s="777"/>
      <c r="Z212" s="777"/>
      <c r="AA212" s="777"/>
    </row>
    <row r="213" spans="1:27">
      <c r="A213" s="2112">
        <v>42</v>
      </c>
      <c r="B213" s="2313"/>
      <c r="C213" s="2313"/>
      <c r="D213" s="2317">
        <f t="shared" si="11"/>
        <v>2030</v>
      </c>
      <c r="E213" s="2317"/>
      <c r="F213" s="2317"/>
      <c r="G213" s="2317"/>
      <c r="H213" s="2317" t="s">
        <v>311</v>
      </c>
      <c r="I213" s="2317"/>
      <c r="J213" s="2317"/>
      <c r="K213" s="2317"/>
      <c r="L213" s="2317"/>
      <c r="M213" s="2317"/>
      <c r="N213" s="2317"/>
      <c r="O213" s="2317"/>
      <c r="P213" s="2318">
        <v>60000</v>
      </c>
      <c r="Q213" s="2319"/>
      <c r="R213" s="2319"/>
      <c r="S213" s="2319"/>
      <c r="T213" s="2116">
        <f>ROUND(IPMT(($AA$3%+0.35%)/11,1,$D$219-$D$208+1,$P$220-(SUM($P$4:P212)))*-1,2)</f>
        <v>150</v>
      </c>
      <c r="U213" s="2116"/>
      <c r="V213" s="2116"/>
      <c r="W213" s="2116"/>
      <c r="X213" s="777"/>
      <c r="Y213" s="777"/>
      <c r="Z213" s="777"/>
      <c r="AA213" s="777"/>
    </row>
    <row r="214" spans="1:27">
      <c r="A214" s="2112">
        <v>43</v>
      </c>
      <c r="B214" s="2313"/>
      <c r="C214" s="2313"/>
      <c r="D214" s="2317">
        <f t="shared" si="11"/>
        <v>2030</v>
      </c>
      <c r="E214" s="2317"/>
      <c r="F214" s="2317"/>
      <c r="G214" s="2317"/>
      <c r="H214" s="2317" t="s">
        <v>312</v>
      </c>
      <c r="I214" s="2317"/>
      <c r="J214" s="2317"/>
      <c r="K214" s="2317"/>
      <c r="L214" s="2317"/>
      <c r="M214" s="2317"/>
      <c r="N214" s="2317"/>
      <c r="O214" s="2317"/>
      <c r="P214" s="2318">
        <v>0</v>
      </c>
      <c r="Q214" s="2319"/>
      <c r="R214" s="2319"/>
      <c r="S214" s="2319"/>
      <c r="T214" s="2116">
        <f>ROUND(IPMT(($AA$3%+0.35%)/11,1,$D$219-$D$208+1,$P$220-(SUM($P$4:P213)))*-1,2)</f>
        <v>0</v>
      </c>
      <c r="U214" s="2116"/>
      <c r="V214" s="2116"/>
      <c r="W214" s="2116"/>
      <c r="X214" s="777"/>
      <c r="Y214" s="777"/>
      <c r="Z214" s="777"/>
      <c r="AA214" s="777"/>
    </row>
    <row r="215" spans="1:27">
      <c r="A215" s="2112">
        <v>44</v>
      </c>
      <c r="B215" s="2313"/>
      <c r="C215" s="2313"/>
      <c r="D215" s="2317">
        <f t="shared" si="11"/>
        <v>2030</v>
      </c>
      <c r="E215" s="2317"/>
      <c r="F215" s="2317"/>
      <c r="G215" s="2317"/>
      <c r="H215" s="2317" t="s">
        <v>313</v>
      </c>
      <c r="I215" s="2317"/>
      <c r="J215" s="2317"/>
      <c r="K215" s="2317"/>
      <c r="L215" s="2317"/>
      <c r="M215" s="2317"/>
      <c r="N215" s="2317"/>
      <c r="O215" s="2317"/>
      <c r="P215" s="2318">
        <v>0</v>
      </c>
      <c r="Q215" s="2319"/>
      <c r="R215" s="2319"/>
      <c r="S215" s="2319"/>
      <c r="T215" s="2116">
        <f>ROUND(IPMT(($AA$3%+0.35%)/11,1,$D$219-$D$208+1,$P$220-(SUM($P$4:P214)))*-1,2)</f>
        <v>0</v>
      </c>
      <c r="U215" s="2116"/>
      <c r="V215" s="2116"/>
      <c r="W215" s="2116"/>
      <c r="X215" s="777"/>
      <c r="Y215" s="777"/>
      <c r="Z215" s="777"/>
      <c r="AA215" s="777"/>
    </row>
    <row r="216" spans="1:27">
      <c r="A216" s="2112">
        <v>45</v>
      </c>
      <c r="B216" s="2313"/>
      <c r="C216" s="2313"/>
      <c r="D216" s="2317">
        <f t="shared" si="11"/>
        <v>2030</v>
      </c>
      <c r="E216" s="2317"/>
      <c r="F216" s="2317"/>
      <c r="G216" s="2317"/>
      <c r="H216" s="2317" t="s">
        <v>314</v>
      </c>
      <c r="I216" s="2317"/>
      <c r="J216" s="2317"/>
      <c r="K216" s="2317"/>
      <c r="L216" s="2317"/>
      <c r="M216" s="2317"/>
      <c r="N216" s="2317"/>
      <c r="O216" s="2317"/>
      <c r="P216" s="2318">
        <v>0</v>
      </c>
      <c r="Q216" s="2319"/>
      <c r="R216" s="2319"/>
      <c r="S216" s="2319"/>
      <c r="T216" s="2116">
        <f>ROUND(IPMT(($AA$3%+0.35%)/11,1,$D$219-$D$208+1,$P$220-(SUM($P$4:P215)))*-1,2)</f>
        <v>0</v>
      </c>
      <c r="U216" s="2116"/>
      <c r="V216" s="2116"/>
      <c r="W216" s="2116"/>
      <c r="X216" s="777"/>
      <c r="Y216" s="777"/>
      <c r="Z216" s="777"/>
      <c r="AA216" s="777"/>
    </row>
    <row r="217" spans="1:27">
      <c r="A217" s="2112">
        <v>46</v>
      </c>
      <c r="B217" s="2313"/>
      <c r="C217" s="2313"/>
      <c r="D217" s="2317">
        <f t="shared" si="11"/>
        <v>2030</v>
      </c>
      <c r="E217" s="2317"/>
      <c r="F217" s="2317"/>
      <c r="G217" s="2317"/>
      <c r="H217" s="2317" t="s">
        <v>315</v>
      </c>
      <c r="I217" s="2317"/>
      <c r="J217" s="2317"/>
      <c r="K217" s="2317"/>
      <c r="L217" s="2317"/>
      <c r="M217" s="2317"/>
      <c r="N217" s="2317"/>
      <c r="O217" s="2317"/>
      <c r="P217" s="2318">
        <v>0</v>
      </c>
      <c r="Q217" s="2319"/>
      <c r="R217" s="2319"/>
      <c r="S217" s="2319"/>
      <c r="T217" s="2116">
        <f>ROUND(IPMT(($AA$3%+0.35%)/11,1,$D$219-$D$208+1,$P$220-(SUM($P$4:P216)))*-1,2)</f>
        <v>0</v>
      </c>
      <c r="U217" s="2116"/>
      <c r="V217" s="2116"/>
      <c r="W217" s="2116"/>
      <c r="X217" s="777"/>
      <c r="Y217" s="777"/>
      <c r="Z217" s="777"/>
      <c r="AA217" s="777"/>
    </row>
    <row r="218" spans="1:27">
      <c r="A218" s="2112">
        <v>47</v>
      </c>
      <c r="B218" s="2313"/>
      <c r="C218" s="2313"/>
      <c r="D218" s="2317">
        <f t="shared" si="11"/>
        <v>2030</v>
      </c>
      <c r="E218" s="2317"/>
      <c r="F218" s="2317"/>
      <c r="G218" s="2317"/>
      <c r="H218" s="2317" t="s">
        <v>316</v>
      </c>
      <c r="I218" s="2317"/>
      <c r="J218" s="2317"/>
      <c r="K218" s="2317"/>
      <c r="L218" s="2317"/>
      <c r="M218" s="2317"/>
      <c r="N218" s="2317"/>
      <c r="O218" s="2317"/>
      <c r="P218" s="2318">
        <v>0</v>
      </c>
      <c r="Q218" s="2319"/>
      <c r="R218" s="2319"/>
      <c r="S218" s="2319"/>
      <c r="T218" s="2116">
        <f>ROUND(IPMT(($AA$3%+0.35%)/11,1,$D$219-$D$208+1,$P$220-(SUM($P$4:P217)))*-1,2)</f>
        <v>0</v>
      </c>
      <c r="U218" s="2116"/>
      <c r="V218" s="2116"/>
      <c r="W218" s="2116"/>
      <c r="X218" s="777"/>
      <c r="Y218" s="777"/>
      <c r="Z218" s="777"/>
      <c r="AA218" s="777"/>
    </row>
    <row r="219" spans="1:27">
      <c r="A219" s="2112">
        <v>48</v>
      </c>
      <c r="B219" s="2313"/>
      <c r="C219" s="2313"/>
      <c r="D219" s="2332">
        <f t="shared" si="11"/>
        <v>2030</v>
      </c>
      <c r="E219" s="2332"/>
      <c r="F219" s="2332"/>
      <c r="G219" s="2332"/>
      <c r="H219" s="2332" t="s">
        <v>317</v>
      </c>
      <c r="I219" s="2332"/>
      <c r="J219" s="2332"/>
      <c r="K219" s="2332"/>
      <c r="L219" s="2332"/>
      <c r="M219" s="2332"/>
      <c r="N219" s="2332"/>
      <c r="O219" s="2332"/>
      <c r="P219" s="2342">
        <v>0</v>
      </c>
      <c r="Q219" s="2343"/>
      <c r="R219" s="2343"/>
      <c r="S219" s="2343"/>
      <c r="T219" s="2111">
        <f>ROUND(IPMT(($AA$3%+0.35%)/11,1,$D$219-$D$208+1,$P$220-(SUM($P$4:P218)))*-1,2)</f>
        <v>0</v>
      </c>
      <c r="U219" s="2111"/>
      <c r="V219" s="2111"/>
      <c r="W219" s="2111"/>
      <c r="X219" s="777"/>
      <c r="Y219" s="777"/>
      <c r="Z219" s="2324">
        <f>SUM(T208:W219)</f>
        <v>3150</v>
      </c>
      <c r="AA219" s="2325"/>
    </row>
    <row r="220" spans="1:27" ht="14.25">
      <c r="A220" s="2334" t="s">
        <v>318</v>
      </c>
      <c r="B220" s="2335"/>
      <c r="C220" s="2335"/>
      <c r="D220" s="2335"/>
      <c r="E220" s="2335"/>
      <c r="F220" s="2335"/>
      <c r="G220" s="2335"/>
      <c r="H220" s="2335"/>
      <c r="I220" s="2335"/>
      <c r="J220" s="2335"/>
      <c r="K220" s="2335"/>
      <c r="L220" s="2335"/>
      <c r="M220" s="2335"/>
      <c r="N220" s="2335"/>
      <c r="O220" s="2336"/>
      <c r="P220" s="2337">
        <f>SUM(P4:P219)</f>
        <v>10800000</v>
      </c>
      <c r="Q220" s="2338"/>
      <c r="R220" s="2338"/>
      <c r="S220" s="2339"/>
      <c r="T220" s="2123">
        <f>SUM(T4:T219)</f>
        <v>3253800</v>
      </c>
      <c r="U220" s="2340"/>
      <c r="V220" s="2338"/>
      <c r="W220" s="2339"/>
      <c r="X220" s="777"/>
      <c r="Y220" s="777"/>
      <c r="Z220" s="777"/>
      <c r="AA220" s="777"/>
    </row>
    <row r="221" spans="1:27">
      <c r="A221" s="2341"/>
      <c r="B221" s="2341"/>
      <c r="C221" s="2341"/>
      <c r="D221" s="2341"/>
      <c r="E221" s="2341"/>
      <c r="F221" s="2341"/>
      <c r="G221" s="2341"/>
      <c r="H221" s="2341"/>
      <c r="I221" s="2341"/>
      <c r="J221" s="2341"/>
      <c r="K221" s="2341"/>
      <c r="L221" s="2341"/>
      <c r="M221" s="2341"/>
      <c r="N221" s="2341"/>
      <c r="O221" s="2341"/>
      <c r="P221" s="2341"/>
      <c r="Q221" s="2341"/>
      <c r="R221" s="2341"/>
      <c r="S221" s="2341"/>
      <c r="T221" s="2341"/>
      <c r="U221" s="2341"/>
      <c r="V221" s="2341"/>
      <c r="W221" s="2341"/>
      <c r="X221" s="777"/>
      <c r="Y221" s="784"/>
      <c r="Z221" s="784"/>
      <c r="AA221" s="784"/>
    </row>
    <row r="222" spans="1:27">
      <c r="A222" s="777"/>
      <c r="B222" s="777"/>
      <c r="C222" s="777"/>
      <c r="D222" s="777"/>
      <c r="E222" s="777"/>
      <c r="F222" s="777"/>
      <c r="G222" s="777"/>
      <c r="H222" s="777"/>
      <c r="I222" s="777"/>
      <c r="J222" s="777"/>
      <c r="K222" s="777"/>
      <c r="L222" s="777"/>
      <c r="M222" s="777"/>
      <c r="N222" s="777"/>
      <c r="O222" s="777"/>
      <c r="P222" s="777"/>
      <c r="Q222" s="777"/>
      <c r="R222" s="777"/>
      <c r="S222" s="777"/>
      <c r="T222" s="777"/>
      <c r="U222" s="777"/>
      <c r="V222" s="777"/>
      <c r="W222" s="777"/>
      <c r="X222" s="777"/>
      <c r="Y222" s="784"/>
      <c r="Z222" s="784"/>
      <c r="AA222" s="784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21"/>
  <sheetViews>
    <sheetView topLeftCell="A139" workbookViewId="0">
      <selection activeCell="P164" sqref="P164:S164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307"/>
      <c r="B1" s="2307"/>
      <c r="C1" s="2307"/>
      <c r="D1" s="2307"/>
      <c r="E1" s="2307"/>
      <c r="F1" s="2307"/>
      <c r="G1" s="2307"/>
      <c r="H1" s="2307"/>
      <c r="I1" s="2307"/>
      <c r="J1" s="2307"/>
      <c r="K1" s="2307"/>
      <c r="L1" s="2307"/>
      <c r="M1" s="2307"/>
      <c r="N1" s="2307"/>
      <c r="O1" s="2307"/>
      <c r="P1" s="2307"/>
      <c r="Q1" s="2307"/>
      <c r="R1" s="2307"/>
      <c r="S1" s="2307"/>
      <c r="T1" s="2307"/>
      <c r="U1" s="2307"/>
      <c r="V1" s="2307"/>
      <c r="W1" s="2307"/>
      <c r="X1" s="783"/>
      <c r="Y1" s="783"/>
      <c r="Z1" s="783"/>
      <c r="AA1" s="783"/>
    </row>
    <row r="2" spans="1:27" ht="18.75">
      <c r="A2" s="2308"/>
      <c r="B2" s="2308"/>
      <c r="C2" s="2308"/>
      <c r="D2" s="2308"/>
      <c r="E2" s="2308"/>
      <c r="F2" s="2308"/>
      <c r="G2" s="2308"/>
      <c r="H2" s="2308"/>
      <c r="I2" s="2308"/>
      <c r="J2" s="2308"/>
      <c r="K2" s="2308"/>
      <c r="L2" s="2308"/>
      <c r="M2" s="2308"/>
      <c r="N2" s="2308"/>
      <c r="O2" s="2308"/>
      <c r="P2" s="2308"/>
      <c r="Q2" s="2308"/>
      <c r="R2" s="2308"/>
      <c r="S2" s="2308"/>
      <c r="T2" s="2308"/>
      <c r="U2" s="2308"/>
      <c r="V2" s="2308"/>
      <c r="W2" s="2308"/>
      <c r="X2" s="783"/>
      <c r="Y2" s="778" t="s">
        <v>301</v>
      </c>
      <c r="Z2" s="783"/>
      <c r="AA2" s="779">
        <v>4.9000000000000004</v>
      </c>
    </row>
    <row r="3" spans="1:27" ht="33.75" customHeight="1">
      <c r="A3" s="2131" t="s">
        <v>196</v>
      </c>
      <c r="B3" s="2309"/>
      <c r="C3" s="2309"/>
      <c r="D3" s="2310" t="s">
        <v>302</v>
      </c>
      <c r="E3" s="2310"/>
      <c r="F3" s="2310"/>
      <c r="G3" s="2310"/>
      <c r="H3" s="2310" t="s">
        <v>303</v>
      </c>
      <c r="I3" s="2310"/>
      <c r="J3" s="2310"/>
      <c r="K3" s="2310"/>
      <c r="L3" s="2310"/>
      <c r="M3" s="2310"/>
      <c r="N3" s="2310"/>
      <c r="O3" s="2310"/>
      <c r="P3" s="2134" t="s">
        <v>304</v>
      </c>
      <c r="Q3" s="2311"/>
      <c r="R3" s="2311"/>
      <c r="S3" s="2312"/>
      <c r="T3" s="2134" t="s">
        <v>305</v>
      </c>
      <c r="U3" s="2311"/>
      <c r="V3" s="2311"/>
      <c r="W3" s="2312"/>
      <c r="X3" s="783"/>
      <c r="Y3" s="778"/>
      <c r="Z3" s="783"/>
      <c r="AA3" s="780">
        <v>6.1</v>
      </c>
    </row>
    <row r="4" spans="1:27">
      <c r="A4" s="2137">
        <v>1</v>
      </c>
      <c r="B4" s="2320"/>
      <c r="C4" s="2320"/>
      <c r="D4" s="2321">
        <v>2013</v>
      </c>
      <c r="E4" s="2321"/>
      <c r="F4" s="2321"/>
      <c r="G4" s="2321"/>
      <c r="H4" s="2321" t="s">
        <v>306</v>
      </c>
      <c r="I4" s="2321"/>
      <c r="J4" s="2321"/>
      <c r="K4" s="2321"/>
      <c r="L4" s="2321"/>
      <c r="M4" s="2321"/>
      <c r="N4" s="2321"/>
      <c r="O4" s="2321"/>
      <c r="P4" s="2322">
        <v>0</v>
      </c>
      <c r="Q4" s="2323"/>
      <c r="R4" s="2323"/>
      <c r="S4" s="2323"/>
      <c r="T4" s="2142">
        <f>IPMT((AA3%+0.35%)/11,1,$D$219-D4+1,$P$220*-1)</f>
        <v>25839.597136363634</v>
      </c>
      <c r="U4" s="2142"/>
      <c r="V4" s="2142"/>
      <c r="W4" s="2142"/>
      <c r="X4" s="783"/>
      <c r="Y4" s="783"/>
      <c r="Z4" s="783"/>
      <c r="AA4" s="783"/>
    </row>
    <row r="5" spans="1:27">
      <c r="A5" s="2112">
        <v>2</v>
      </c>
      <c r="B5" s="2313"/>
      <c r="C5" s="2313"/>
      <c r="D5" s="2314">
        <f>D4</f>
        <v>2013</v>
      </c>
      <c r="E5" s="2315"/>
      <c r="F5" s="2315"/>
      <c r="G5" s="2316"/>
      <c r="H5" s="2317" t="s">
        <v>307</v>
      </c>
      <c r="I5" s="2317"/>
      <c r="J5" s="2317"/>
      <c r="K5" s="2317"/>
      <c r="L5" s="2317"/>
      <c r="M5" s="2317"/>
      <c r="N5" s="2317"/>
      <c r="O5" s="2317"/>
      <c r="P5" s="2318">
        <v>0</v>
      </c>
      <c r="Q5" s="2319"/>
      <c r="R5" s="2319"/>
      <c r="S5" s="2319"/>
      <c r="T5" s="2116">
        <f>ROUND(IPMT(($AA$3%+0.35%)/11,1,$D$219-$D$4+1,$P$220-(SUM($P$4:P4)))*-1,2)</f>
        <v>25839.599999999999</v>
      </c>
      <c r="U5" s="2116"/>
      <c r="V5" s="2116"/>
      <c r="W5" s="2116"/>
      <c r="X5" s="783"/>
      <c r="Y5" s="783"/>
      <c r="Z5" s="783"/>
      <c r="AA5" s="783"/>
    </row>
    <row r="6" spans="1:27">
      <c r="A6" s="2112">
        <v>3</v>
      </c>
      <c r="B6" s="2313"/>
      <c r="C6" s="2313"/>
      <c r="D6" s="2314">
        <f t="shared" ref="D6:D15" si="0">D5</f>
        <v>2013</v>
      </c>
      <c r="E6" s="2315"/>
      <c r="F6" s="2315"/>
      <c r="G6" s="2316"/>
      <c r="H6" s="2317" t="s">
        <v>308</v>
      </c>
      <c r="I6" s="2317"/>
      <c r="J6" s="2317"/>
      <c r="K6" s="2317"/>
      <c r="L6" s="2317"/>
      <c r="M6" s="2317"/>
      <c r="N6" s="2317"/>
      <c r="O6" s="2317"/>
      <c r="P6" s="2318">
        <v>0</v>
      </c>
      <c r="Q6" s="2319"/>
      <c r="R6" s="2319"/>
      <c r="S6" s="2319"/>
      <c r="T6" s="2116">
        <f>ROUND(IPMT(($AA$3%+0.35%)/11,1,$D$219-$D$4+1,$P$220-(SUM($P$4:P5)))*-1,2)</f>
        <v>25839.599999999999</v>
      </c>
      <c r="U6" s="2116"/>
      <c r="V6" s="2116"/>
      <c r="W6" s="2116"/>
      <c r="X6" s="783"/>
      <c r="Y6" s="783"/>
      <c r="Z6" s="783"/>
      <c r="AA6" s="783"/>
    </row>
    <row r="7" spans="1:27">
      <c r="A7" s="2112">
        <v>4</v>
      </c>
      <c r="B7" s="2313"/>
      <c r="C7" s="2313"/>
      <c r="D7" s="2314">
        <f t="shared" si="0"/>
        <v>2013</v>
      </c>
      <c r="E7" s="2315"/>
      <c r="F7" s="2315"/>
      <c r="G7" s="2316"/>
      <c r="H7" s="2317" t="s">
        <v>309</v>
      </c>
      <c r="I7" s="2317"/>
      <c r="J7" s="2317"/>
      <c r="K7" s="2317"/>
      <c r="L7" s="2317"/>
      <c r="M7" s="2317"/>
      <c r="N7" s="2317"/>
      <c r="O7" s="2317"/>
      <c r="P7" s="2318">
        <v>0</v>
      </c>
      <c r="Q7" s="2319"/>
      <c r="R7" s="2319"/>
      <c r="S7" s="2319"/>
      <c r="T7" s="2116">
        <f>ROUND(IPMT(($AA$3%+0.35%)/11,1,$D$219-$D$4+1,$P$220-(SUM($P$4:P6)))*-1,2)</f>
        <v>25839.599999999999</v>
      </c>
      <c r="U7" s="2116"/>
      <c r="V7" s="2116"/>
      <c r="W7" s="2116"/>
      <c r="X7" s="783"/>
      <c r="Y7" s="783"/>
      <c r="Z7" s="783"/>
      <c r="AA7" s="783"/>
    </row>
    <row r="8" spans="1:27">
      <c r="A8" s="2112">
        <v>5</v>
      </c>
      <c r="B8" s="2313"/>
      <c r="C8" s="2313"/>
      <c r="D8" s="2314">
        <f t="shared" si="0"/>
        <v>2013</v>
      </c>
      <c r="E8" s="2315"/>
      <c r="F8" s="2315"/>
      <c r="G8" s="2316"/>
      <c r="H8" s="2317" t="s">
        <v>310</v>
      </c>
      <c r="I8" s="2317"/>
      <c r="J8" s="2317"/>
      <c r="K8" s="2317"/>
      <c r="L8" s="2317"/>
      <c r="M8" s="2317"/>
      <c r="N8" s="2317"/>
      <c r="O8" s="2317"/>
      <c r="P8" s="2318">
        <v>0</v>
      </c>
      <c r="Q8" s="2319"/>
      <c r="R8" s="2319"/>
      <c r="S8" s="2319"/>
      <c r="T8" s="2116">
        <f>ROUND(IPMT(($AA$3%+0.35%)/11,1,$D$219-$D$4+1,$P$220-(SUM($P$4:P7)))*-1,2)</f>
        <v>25839.599999999999</v>
      </c>
      <c r="U8" s="2116"/>
      <c r="V8" s="2116"/>
      <c r="W8" s="2116"/>
      <c r="X8" s="783"/>
      <c r="Y8" s="783"/>
      <c r="Z8" s="783"/>
      <c r="AA8" s="783"/>
    </row>
    <row r="9" spans="1:27">
      <c r="A9" s="2112">
        <v>6</v>
      </c>
      <c r="B9" s="2313"/>
      <c r="C9" s="2313"/>
      <c r="D9" s="2314">
        <f t="shared" si="0"/>
        <v>2013</v>
      </c>
      <c r="E9" s="2315"/>
      <c r="F9" s="2315"/>
      <c r="G9" s="2316"/>
      <c r="H9" s="2317" t="s">
        <v>311</v>
      </c>
      <c r="I9" s="2317"/>
      <c r="J9" s="2317"/>
      <c r="K9" s="2317"/>
      <c r="L9" s="2317"/>
      <c r="M9" s="2317"/>
      <c r="N9" s="2317"/>
      <c r="O9" s="2317"/>
      <c r="P9" s="2318">
        <v>0</v>
      </c>
      <c r="Q9" s="2319"/>
      <c r="R9" s="2319"/>
      <c r="S9" s="2319"/>
      <c r="T9" s="2116">
        <f>ROUND(IPMT(($AA$3%+0.35%)/11,1,$D$219-$D$4+1,$P$220-(SUM($P$4:P8)))*-1,2)</f>
        <v>25839.599999999999</v>
      </c>
      <c r="U9" s="2116"/>
      <c r="V9" s="2116"/>
      <c r="W9" s="2116"/>
      <c r="X9" s="783"/>
      <c r="Y9" s="783"/>
      <c r="Z9" s="783"/>
      <c r="AA9" s="783"/>
    </row>
    <row r="10" spans="1:27">
      <c r="A10" s="2112">
        <v>7</v>
      </c>
      <c r="B10" s="2313"/>
      <c r="C10" s="2313"/>
      <c r="D10" s="2314">
        <f t="shared" si="0"/>
        <v>2013</v>
      </c>
      <c r="E10" s="2315"/>
      <c r="F10" s="2315"/>
      <c r="G10" s="2316"/>
      <c r="H10" s="2317" t="s">
        <v>312</v>
      </c>
      <c r="I10" s="2317"/>
      <c r="J10" s="2317"/>
      <c r="K10" s="2317"/>
      <c r="L10" s="2317"/>
      <c r="M10" s="2317"/>
      <c r="N10" s="2317"/>
      <c r="O10" s="2317"/>
      <c r="P10" s="2318">
        <v>0</v>
      </c>
      <c r="Q10" s="2319"/>
      <c r="R10" s="2319"/>
      <c r="S10" s="2319"/>
      <c r="T10" s="2116">
        <f>ROUND(IPMT(($AA$3%+0.35%)/11,1,$D$219-$D$4+1,$P$220-(SUM($P$4:P9)))*-1,2)</f>
        <v>25839.599999999999</v>
      </c>
      <c r="U10" s="2116"/>
      <c r="V10" s="2116"/>
      <c r="W10" s="2116"/>
      <c r="X10" s="783"/>
      <c r="Y10" s="783"/>
      <c r="Z10" s="783"/>
      <c r="AA10" s="783"/>
    </row>
    <row r="11" spans="1:27">
      <c r="A11" s="2112">
        <v>8</v>
      </c>
      <c r="B11" s="2313"/>
      <c r="C11" s="2313"/>
      <c r="D11" s="2314">
        <f t="shared" si="0"/>
        <v>2013</v>
      </c>
      <c r="E11" s="2315"/>
      <c r="F11" s="2315"/>
      <c r="G11" s="2316"/>
      <c r="H11" s="2317" t="s">
        <v>313</v>
      </c>
      <c r="I11" s="2317"/>
      <c r="J11" s="2317"/>
      <c r="K11" s="2317"/>
      <c r="L11" s="2317"/>
      <c r="M11" s="2317"/>
      <c r="N11" s="2317"/>
      <c r="O11" s="2317"/>
      <c r="P11" s="2318">
        <v>0</v>
      </c>
      <c r="Q11" s="2319"/>
      <c r="R11" s="2319"/>
      <c r="S11" s="2319"/>
      <c r="T11" s="2116">
        <f>ROUND(IPMT(($AA$3%+0.35%)/11,1,$D$219-$D$4+1,$P$220-(SUM($P$4:P10)))*-1,2)</f>
        <v>25839.599999999999</v>
      </c>
      <c r="U11" s="2116"/>
      <c r="V11" s="2116"/>
      <c r="W11" s="2116"/>
      <c r="X11" s="783"/>
      <c r="Y11" s="783"/>
      <c r="Z11" s="783"/>
      <c r="AA11" s="783"/>
    </row>
    <row r="12" spans="1:27">
      <c r="A12" s="2112">
        <v>9</v>
      </c>
      <c r="B12" s="2313"/>
      <c r="C12" s="2313"/>
      <c r="D12" s="2314">
        <f t="shared" si="0"/>
        <v>2013</v>
      </c>
      <c r="E12" s="2315"/>
      <c r="F12" s="2315"/>
      <c r="G12" s="2316"/>
      <c r="H12" s="2317" t="s">
        <v>314</v>
      </c>
      <c r="I12" s="2317"/>
      <c r="J12" s="2317"/>
      <c r="K12" s="2317"/>
      <c r="L12" s="2317"/>
      <c r="M12" s="2317"/>
      <c r="N12" s="2317"/>
      <c r="O12" s="2317"/>
      <c r="P12" s="2318">
        <v>0</v>
      </c>
      <c r="Q12" s="2319"/>
      <c r="R12" s="2319"/>
      <c r="S12" s="2319"/>
      <c r="T12" s="2116">
        <f>ROUND(IPMT(($AA$3%+0.35%)/11,1,$D$219-$D$4+1,$P$220-(SUM($P$4:P11)))*-1,2)</f>
        <v>25839.599999999999</v>
      </c>
      <c r="U12" s="2116"/>
      <c r="V12" s="2116"/>
      <c r="W12" s="2116"/>
      <c r="X12" s="783"/>
      <c r="Y12" s="783"/>
      <c r="Z12" s="783"/>
      <c r="AA12" s="783"/>
    </row>
    <row r="13" spans="1:27">
      <c r="A13" s="2112">
        <v>10</v>
      </c>
      <c r="B13" s="2313"/>
      <c r="C13" s="2313"/>
      <c r="D13" s="2314">
        <f t="shared" si="0"/>
        <v>2013</v>
      </c>
      <c r="E13" s="2315"/>
      <c r="F13" s="2315"/>
      <c r="G13" s="2316"/>
      <c r="H13" s="2317" t="s">
        <v>315</v>
      </c>
      <c r="I13" s="2317"/>
      <c r="J13" s="2317"/>
      <c r="K13" s="2317"/>
      <c r="L13" s="2317"/>
      <c r="M13" s="2317"/>
      <c r="N13" s="2317"/>
      <c r="O13" s="2317"/>
      <c r="P13" s="2318">
        <v>0</v>
      </c>
      <c r="Q13" s="2319"/>
      <c r="R13" s="2319"/>
      <c r="S13" s="2319"/>
      <c r="T13" s="2116">
        <f>ROUND(IPMT(($AA$3%+0.35%)/11,1,$D$219-$D$4+1,$P$220-(SUM($P$4:P12)))*-1,2)</f>
        <v>25839.599999999999</v>
      </c>
      <c r="U13" s="2116"/>
      <c r="V13" s="2116"/>
      <c r="W13" s="2116"/>
      <c r="X13" s="783"/>
      <c r="Y13" s="783"/>
      <c r="Z13" s="783"/>
      <c r="AA13" s="783"/>
    </row>
    <row r="14" spans="1:27">
      <c r="A14" s="2112">
        <v>11</v>
      </c>
      <c r="B14" s="2313"/>
      <c r="C14" s="2313"/>
      <c r="D14" s="2314">
        <f t="shared" si="0"/>
        <v>2013</v>
      </c>
      <c r="E14" s="2315"/>
      <c r="F14" s="2315"/>
      <c r="G14" s="2316"/>
      <c r="H14" s="2317" t="s">
        <v>316</v>
      </c>
      <c r="I14" s="2317"/>
      <c r="J14" s="2317"/>
      <c r="K14" s="2317"/>
      <c r="L14" s="2317"/>
      <c r="M14" s="2317"/>
      <c r="N14" s="2317"/>
      <c r="O14" s="2317"/>
      <c r="P14" s="2318">
        <v>0</v>
      </c>
      <c r="Q14" s="2319"/>
      <c r="R14" s="2319"/>
      <c r="S14" s="2319"/>
      <c r="T14" s="2116">
        <f>ROUND(IPMT(($AA$3%+0.35%)/11,1,$D$219-$D$4+1,$P$220-(SUM($P$4:P13)))*-1,2)</f>
        <v>25839.599999999999</v>
      </c>
      <c r="U14" s="2116"/>
      <c r="V14" s="2116"/>
      <c r="W14" s="2116"/>
      <c r="X14" s="783"/>
      <c r="Y14" s="783"/>
      <c r="Z14" s="783"/>
      <c r="AA14" s="783"/>
    </row>
    <row r="15" spans="1:27">
      <c r="A15" s="2112">
        <v>12</v>
      </c>
      <c r="B15" s="2313"/>
      <c r="C15" s="2313"/>
      <c r="D15" s="2314">
        <f t="shared" si="0"/>
        <v>2013</v>
      </c>
      <c r="E15" s="2315"/>
      <c r="F15" s="2315"/>
      <c r="G15" s="2316"/>
      <c r="H15" s="2317" t="s">
        <v>317</v>
      </c>
      <c r="I15" s="2317"/>
      <c r="J15" s="2317"/>
      <c r="K15" s="2317"/>
      <c r="L15" s="2317"/>
      <c r="M15" s="2317"/>
      <c r="N15" s="2317"/>
      <c r="O15" s="2317"/>
      <c r="P15" s="2318">
        <v>0</v>
      </c>
      <c r="Q15" s="2319"/>
      <c r="R15" s="2319"/>
      <c r="S15" s="2319"/>
      <c r="T15" s="2116">
        <f>ROUND(IPMT(($AA$3%+0.35%)/11,1,$D$219-$D$4+1,$P$220-(SUM($P$4:P14)))*-1,2)</f>
        <v>25839.599999999999</v>
      </c>
      <c r="U15" s="2116"/>
      <c r="V15" s="2116"/>
      <c r="W15" s="2116"/>
      <c r="X15" s="783"/>
      <c r="Y15" s="2324">
        <f>SUM(T4:W15)</f>
        <v>310075.19713636365</v>
      </c>
      <c r="Z15" s="2325"/>
      <c r="AA15" s="783"/>
    </row>
    <row r="16" spans="1:27">
      <c r="A16" s="2326">
        <v>13</v>
      </c>
      <c r="B16" s="2327"/>
      <c r="C16" s="2327"/>
      <c r="D16" s="2328">
        <f>D15+1</f>
        <v>2014</v>
      </c>
      <c r="E16" s="2328"/>
      <c r="F16" s="2328"/>
      <c r="G16" s="2328"/>
      <c r="H16" s="2328" t="s">
        <v>306</v>
      </c>
      <c r="I16" s="2328"/>
      <c r="J16" s="2328"/>
      <c r="K16" s="2328"/>
      <c r="L16" s="2328"/>
      <c r="M16" s="2328"/>
      <c r="N16" s="2328"/>
      <c r="O16" s="2328"/>
      <c r="P16" s="2329">
        <v>0</v>
      </c>
      <c r="Q16" s="2330"/>
      <c r="R16" s="2330"/>
      <c r="S16" s="2330"/>
      <c r="T16" s="2331">
        <f>ROUND(IPMT(($AA$3%+0.35%)/11,1,$D$219-D15+1,$P$220-(SUM($P$4:P15)))*-1,2)</f>
        <v>25839.599999999999</v>
      </c>
      <c r="U16" s="2331"/>
      <c r="V16" s="2331"/>
      <c r="W16" s="2331"/>
      <c r="X16" s="783"/>
      <c r="Y16" s="781"/>
      <c r="Z16" s="781"/>
      <c r="AA16" s="783"/>
    </row>
    <row r="17" spans="1:27">
      <c r="A17" s="2112">
        <v>14</v>
      </c>
      <c r="B17" s="2313"/>
      <c r="C17" s="2313"/>
      <c r="D17" s="2317">
        <f>$D$16</f>
        <v>2014</v>
      </c>
      <c r="E17" s="2317"/>
      <c r="F17" s="2317"/>
      <c r="G17" s="2317"/>
      <c r="H17" s="2317" t="s">
        <v>307</v>
      </c>
      <c r="I17" s="2317"/>
      <c r="J17" s="2317"/>
      <c r="K17" s="2317"/>
      <c r="L17" s="2317"/>
      <c r="M17" s="2317"/>
      <c r="N17" s="2317"/>
      <c r="O17" s="2317"/>
      <c r="P17" s="2318">
        <v>0</v>
      </c>
      <c r="Q17" s="2319"/>
      <c r="R17" s="2319"/>
      <c r="S17" s="2319"/>
      <c r="T17" s="2116">
        <f>ROUND(IPMT(($AA$3%+0.35%)/11,1,$D$219-D16+1,$P$220-(SUM($P$4:P16)))*-1,2)</f>
        <v>25839.599999999999</v>
      </c>
      <c r="U17" s="2116"/>
      <c r="V17" s="2116"/>
      <c r="W17" s="2116"/>
      <c r="X17" s="783"/>
      <c r="Y17" s="781"/>
      <c r="Z17" s="781"/>
      <c r="AA17" s="783"/>
    </row>
    <row r="18" spans="1:27">
      <c r="A18" s="2112">
        <v>15</v>
      </c>
      <c r="B18" s="2313"/>
      <c r="C18" s="2313"/>
      <c r="D18" s="2317">
        <f t="shared" ref="D18:D27" si="1">$D$16</f>
        <v>2014</v>
      </c>
      <c r="E18" s="2317"/>
      <c r="F18" s="2317"/>
      <c r="G18" s="2317"/>
      <c r="H18" s="2317" t="s">
        <v>308</v>
      </c>
      <c r="I18" s="2317"/>
      <c r="J18" s="2317"/>
      <c r="K18" s="2317"/>
      <c r="L18" s="2317"/>
      <c r="M18" s="2317"/>
      <c r="N18" s="2317"/>
      <c r="O18" s="2317"/>
      <c r="P18" s="2318">
        <v>0</v>
      </c>
      <c r="Q18" s="2319"/>
      <c r="R18" s="2319"/>
      <c r="S18" s="2319"/>
      <c r="T18" s="2116">
        <f>ROUND(IPMT(($AA$3%+0.35%)/11,1,$D$219-$D$16+1,$P$220-(SUM($P$4:P17)))*-1,2)</f>
        <v>25839.599999999999</v>
      </c>
      <c r="U18" s="2116"/>
      <c r="V18" s="2116"/>
      <c r="W18" s="2116"/>
      <c r="X18" s="783"/>
      <c r="Y18" s="781"/>
      <c r="Z18" s="781"/>
      <c r="AA18" s="783"/>
    </row>
    <row r="19" spans="1:27">
      <c r="A19" s="2112">
        <v>16</v>
      </c>
      <c r="B19" s="2313"/>
      <c r="C19" s="2313"/>
      <c r="D19" s="2317">
        <f t="shared" si="1"/>
        <v>2014</v>
      </c>
      <c r="E19" s="2317"/>
      <c r="F19" s="2317"/>
      <c r="G19" s="2317"/>
      <c r="H19" s="2317" t="s">
        <v>309</v>
      </c>
      <c r="I19" s="2317"/>
      <c r="J19" s="2317"/>
      <c r="K19" s="2317"/>
      <c r="L19" s="2317"/>
      <c r="M19" s="2317"/>
      <c r="N19" s="2317"/>
      <c r="O19" s="2317"/>
      <c r="P19" s="2318">
        <v>0</v>
      </c>
      <c r="Q19" s="2319"/>
      <c r="R19" s="2319"/>
      <c r="S19" s="2319"/>
      <c r="T19" s="2116">
        <f>ROUND(IPMT(($AA$3%+0.35%)/11,1,$D$219-$D$16+1,$P$220-(SUM($P$4:P18)))*-1,2)</f>
        <v>25839.599999999999</v>
      </c>
      <c r="U19" s="2116"/>
      <c r="V19" s="2116"/>
      <c r="W19" s="2116"/>
      <c r="X19" s="783"/>
      <c r="Y19" s="781"/>
      <c r="Z19" s="781"/>
      <c r="AA19" s="783"/>
    </row>
    <row r="20" spans="1:27">
      <c r="A20" s="2112">
        <v>17</v>
      </c>
      <c r="B20" s="2313"/>
      <c r="C20" s="2313"/>
      <c r="D20" s="2317">
        <f t="shared" si="1"/>
        <v>2014</v>
      </c>
      <c r="E20" s="2317"/>
      <c r="F20" s="2317"/>
      <c r="G20" s="2317"/>
      <c r="H20" s="2317" t="s">
        <v>310</v>
      </c>
      <c r="I20" s="2317"/>
      <c r="J20" s="2317"/>
      <c r="K20" s="2317"/>
      <c r="L20" s="2317"/>
      <c r="M20" s="2317"/>
      <c r="N20" s="2317"/>
      <c r="O20" s="2317"/>
      <c r="P20" s="2318">
        <v>0</v>
      </c>
      <c r="Q20" s="2319"/>
      <c r="R20" s="2319"/>
      <c r="S20" s="2319"/>
      <c r="T20" s="2116">
        <f>ROUND(IPMT(($AA$3%+0.35%)/11,1,$D$219-$D$16+1,$P$220-(SUM($P$4:P19)))*-1,2)</f>
        <v>25839.599999999999</v>
      </c>
      <c r="U20" s="2116"/>
      <c r="V20" s="2116"/>
      <c r="W20" s="2116"/>
      <c r="X20" s="783"/>
      <c r="Y20" s="781"/>
      <c r="Z20" s="781"/>
      <c r="AA20" s="783"/>
    </row>
    <row r="21" spans="1:27">
      <c r="A21" s="2112">
        <v>18</v>
      </c>
      <c r="B21" s="2313"/>
      <c r="C21" s="2313"/>
      <c r="D21" s="2317">
        <f t="shared" si="1"/>
        <v>2014</v>
      </c>
      <c r="E21" s="2317"/>
      <c r="F21" s="2317"/>
      <c r="G21" s="2317"/>
      <c r="H21" s="2317" t="s">
        <v>311</v>
      </c>
      <c r="I21" s="2317"/>
      <c r="J21" s="2317"/>
      <c r="K21" s="2317"/>
      <c r="L21" s="2317"/>
      <c r="M21" s="2317"/>
      <c r="N21" s="2317"/>
      <c r="O21" s="2317"/>
      <c r="P21" s="2318">
        <v>0</v>
      </c>
      <c r="Q21" s="2319"/>
      <c r="R21" s="2319"/>
      <c r="S21" s="2319"/>
      <c r="T21" s="2116">
        <f>ROUND(IPMT(($AA$3%+0.35%)/11,1,$D$219-$D$16+1,$P$220-(SUM($P$4:P20)))*-1,2)</f>
        <v>25839.599999999999</v>
      </c>
      <c r="U21" s="2116"/>
      <c r="V21" s="2116"/>
      <c r="W21" s="2116"/>
      <c r="X21" s="783"/>
      <c r="Y21" s="781"/>
      <c r="Z21" s="781"/>
      <c r="AA21" s="783"/>
    </row>
    <row r="22" spans="1:27">
      <c r="A22" s="2112">
        <v>19</v>
      </c>
      <c r="B22" s="2313"/>
      <c r="C22" s="2313"/>
      <c r="D22" s="2317">
        <f t="shared" si="1"/>
        <v>2014</v>
      </c>
      <c r="E22" s="2317"/>
      <c r="F22" s="2317"/>
      <c r="G22" s="2317"/>
      <c r="H22" s="2317" t="s">
        <v>312</v>
      </c>
      <c r="I22" s="2317"/>
      <c r="J22" s="2317"/>
      <c r="K22" s="2317"/>
      <c r="L22" s="2317"/>
      <c r="M22" s="2317"/>
      <c r="N22" s="2317"/>
      <c r="O22" s="2317"/>
      <c r="P22" s="2318">
        <v>0</v>
      </c>
      <c r="Q22" s="2319"/>
      <c r="R22" s="2319"/>
      <c r="S22" s="2319"/>
      <c r="T22" s="2116">
        <f>ROUND(IPMT(($AA$3%+0.35%)/11,1,$D$219-$D$16+1,$P$220-(SUM($P$4:P21)))*-1,2)</f>
        <v>25839.599999999999</v>
      </c>
      <c r="U22" s="2116"/>
      <c r="V22" s="2116"/>
      <c r="W22" s="2116"/>
      <c r="X22" s="783"/>
      <c r="Y22" s="781"/>
      <c r="Z22" s="781"/>
      <c r="AA22" s="783"/>
    </row>
    <row r="23" spans="1:27">
      <c r="A23" s="2112">
        <v>20</v>
      </c>
      <c r="B23" s="2313"/>
      <c r="C23" s="2313"/>
      <c r="D23" s="2317">
        <f t="shared" si="1"/>
        <v>2014</v>
      </c>
      <c r="E23" s="2317"/>
      <c r="F23" s="2317"/>
      <c r="G23" s="2317"/>
      <c r="H23" s="2317" t="s">
        <v>313</v>
      </c>
      <c r="I23" s="2317"/>
      <c r="J23" s="2317"/>
      <c r="K23" s="2317"/>
      <c r="L23" s="2317"/>
      <c r="M23" s="2317"/>
      <c r="N23" s="2317"/>
      <c r="O23" s="2317"/>
      <c r="P23" s="2318">
        <v>0</v>
      </c>
      <c r="Q23" s="2319"/>
      <c r="R23" s="2319"/>
      <c r="S23" s="2319"/>
      <c r="T23" s="2116">
        <f>ROUND(IPMT(($AA$3%+0.35%)/11,1,$D$219-$D$16+1,$P$220-(SUM($P$4:P22)))*-1,2)</f>
        <v>25839.599999999999</v>
      </c>
      <c r="U23" s="2116"/>
      <c r="V23" s="2116"/>
      <c r="W23" s="2116"/>
      <c r="X23" s="783"/>
      <c r="Y23" s="781"/>
      <c r="Z23" s="781"/>
      <c r="AA23" s="783"/>
    </row>
    <row r="24" spans="1:27">
      <c r="A24" s="2112">
        <v>21</v>
      </c>
      <c r="B24" s="2313"/>
      <c r="C24" s="2313"/>
      <c r="D24" s="2317">
        <f t="shared" si="1"/>
        <v>2014</v>
      </c>
      <c r="E24" s="2317"/>
      <c r="F24" s="2317"/>
      <c r="G24" s="2317"/>
      <c r="H24" s="2317" t="s">
        <v>314</v>
      </c>
      <c r="I24" s="2317"/>
      <c r="J24" s="2317"/>
      <c r="K24" s="2317"/>
      <c r="L24" s="2317"/>
      <c r="M24" s="2317"/>
      <c r="N24" s="2317"/>
      <c r="O24" s="2317"/>
      <c r="P24" s="2318">
        <v>0</v>
      </c>
      <c r="Q24" s="2319"/>
      <c r="R24" s="2319"/>
      <c r="S24" s="2319"/>
      <c r="T24" s="2116">
        <f>ROUND(IPMT(($AA$3%+0.35%)/11,1,$D$219-$D$16+1,$P$220-(SUM($P$4:P23)))*-1,2)</f>
        <v>25839.599999999999</v>
      </c>
      <c r="U24" s="2116"/>
      <c r="V24" s="2116"/>
      <c r="W24" s="2116"/>
      <c r="X24" s="783"/>
      <c r="Y24" s="781"/>
      <c r="Z24" s="781"/>
      <c r="AA24" s="783"/>
    </row>
    <row r="25" spans="1:27">
      <c r="A25" s="2112">
        <v>22</v>
      </c>
      <c r="B25" s="2313"/>
      <c r="C25" s="2313"/>
      <c r="D25" s="2317">
        <f t="shared" si="1"/>
        <v>2014</v>
      </c>
      <c r="E25" s="2317"/>
      <c r="F25" s="2317"/>
      <c r="G25" s="2317"/>
      <c r="H25" s="2317" t="s">
        <v>315</v>
      </c>
      <c r="I25" s="2317"/>
      <c r="J25" s="2317"/>
      <c r="K25" s="2317"/>
      <c r="L25" s="2317"/>
      <c r="M25" s="2317"/>
      <c r="N25" s="2317"/>
      <c r="O25" s="2317"/>
      <c r="P25" s="2318">
        <v>0</v>
      </c>
      <c r="Q25" s="2319"/>
      <c r="R25" s="2319"/>
      <c r="S25" s="2319"/>
      <c r="T25" s="2116">
        <f>ROUND(IPMT(($AA$3%+0.35%)/11,1,$D$219-$D$16+1,$P$220-(SUM($P$4:P24)))*-1,2)</f>
        <v>25839.599999999999</v>
      </c>
      <c r="U25" s="2116"/>
      <c r="V25" s="2116"/>
      <c r="W25" s="2116"/>
      <c r="X25" s="783"/>
      <c r="Y25" s="781"/>
      <c r="Z25" s="781"/>
      <c r="AA25" s="783"/>
    </row>
    <row r="26" spans="1:27">
      <c r="A26" s="2112">
        <v>23</v>
      </c>
      <c r="B26" s="2313"/>
      <c r="C26" s="2313"/>
      <c r="D26" s="2317">
        <f t="shared" si="1"/>
        <v>2014</v>
      </c>
      <c r="E26" s="2317"/>
      <c r="F26" s="2317"/>
      <c r="G26" s="2317"/>
      <c r="H26" s="2317" t="s">
        <v>316</v>
      </c>
      <c r="I26" s="2317"/>
      <c r="J26" s="2317"/>
      <c r="K26" s="2317"/>
      <c r="L26" s="2317"/>
      <c r="M26" s="2317"/>
      <c r="N26" s="2317"/>
      <c r="O26" s="2317"/>
      <c r="P26" s="2318">
        <v>0</v>
      </c>
      <c r="Q26" s="2319"/>
      <c r="R26" s="2319"/>
      <c r="S26" s="2319"/>
      <c r="T26" s="2116">
        <f>ROUND(IPMT(($AA$3%+0.35%)/11,1,$D$219-$D$16+1,$P$220-(SUM($P$4:P25)))*-1,2)</f>
        <v>25839.599999999999</v>
      </c>
      <c r="U26" s="2116"/>
      <c r="V26" s="2116"/>
      <c r="W26" s="2116"/>
      <c r="X26" s="783"/>
      <c r="Y26" s="781"/>
      <c r="Z26" s="781"/>
      <c r="AA26" s="783"/>
    </row>
    <row r="27" spans="1:27">
      <c r="A27" s="2112">
        <v>24</v>
      </c>
      <c r="B27" s="2313"/>
      <c r="C27" s="2313"/>
      <c r="D27" s="2317">
        <f t="shared" si="1"/>
        <v>2014</v>
      </c>
      <c r="E27" s="2317"/>
      <c r="F27" s="2317"/>
      <c r="G27" s="2317"/>
      <c r="H27" s="2317" t="s">
        <v>317</v>
      </c>
      <c r="I27" s="2317"/>
      <c r="J27" s="2317"/>
      <c r="K27" s="2317"/>
      <c r="L27" s="2317"/>
      <c r="M27" s="2317"/>
      <c r="N27" s="2317"/>
      <c r="O27" s="2317"/>
      <c r="P27" s="2318">
        <v>0</v>
      </c>
      <c r="Q27" s="2319"/>
      <c r="R27" s="2319"/>
      <c r="S27" s="2319"/>
      <c r="T27" s="2116">
        <f>ROUND(IPMT(($AA$3%+0.35%)/11,1,$D$219-$D$16+1,$P$220-(SUM($P$4:P26)))*-1,2)</f>
        <v>25839.599999999999</v>
      </c>
      <c r="U27" s="2116"/>
      <c r="V27" s="2116"/>
      <c r="W27" s="2116"/>
      <c r="X27" s="783"/>
      <c r="Y27" s="2324">
        <f>SUM(T16:W27)</f>
        <v>310075.2</v>
      </c>
      <c r="Z27" s="2325"/>
      <c r="AA27" s="783"/>
    </row>
    <row r="28" spans="1:27">
      <c r="A28" s="2326">
        <v>25</v>
      </c>
      <c r="B28" s="2327"/>
      <c r="C28" s="2327"/>
      <c r="D28" s="2328">
        <f>D16+1</f>
        <v>2015</v>
      </c>
      <c r="E28" s="2328"/>
      <c r="F28" s="2328"/>
      <c r="G28" s="2328"/>
      <c r="H28" s="2328" t="s">
        <v>306</v>
      </c>
      <c r="I28" s="2328"/>
      <c r="J28" s="2328"/>
      <c r="K28" s="2328"/>
      <c r="L28" s="2328"/>
      <c r="M28" s="2328"/>
      <c r="N28" s="2328"/>
      <c r="O28" s="2328"/>
      <c r="P28" s="2329">
        <v>0</v>
      </c>
      <c r="Q28" s="2330"/>
      <c r="R28" s="2330"/>
      <c r="S28" s="2330"/>
      <c r="T28" s="2331">
        <f>ROUND(IPMT(($AA$3%+0.35%)/11,1,$D$219-$D$16+1,$P$220-(SUM($P$4:P27)))*-1,2)</f>
        <v>25839.599999999999</v>
      </c>
      <c r="U28" s="2331"/>
      <c r="V28" s="2331"/>
      <c r="W28" s="2331"/>
      <c r="X28" s="783"/>
      <c r="Y28" s="781"/>
      <c r="Z28" s="781"/>
      <c r="AA28" s="783"/>
    </row>
    <row r="29" spans="1:27">
      <c r="A29" s="2112">
        <v>26</v>
      </c>
      <c r="B29" s="2313"/>
      <c r="C29" s="2313"/>
      <c r="D29" s="2317">
        <f>$D$28</f>
        <v>2015</v>
      </c>
      <c r="E29" s="2317"/>
      <c r="F29" s="2317"/>
      <c r="G29" s="2317"/>
      <c r="H29" s="2317" t="s">
        <v>307</v>
      </c>
      <c r="I29" s="2317"/>
      <c r="J29" s="2317"/>
      <c r="K29" s="2317"/>
      <c r="L29" s="2317"/>
      <c r="M29" s="2317"/>
      <c r="N29" s="2317"/>
      <c r="O29" s="2317"/>
      <c r="P29" s="2318">
        <v>0</v>
      </c>
      <c r="Q29" s="2319"/>
      <c r="R29" s="2319"/>
      <c r="S29" s="2319"/>
      <c r="T29" s="2116">
        <f>ROUND(IPMT(($AA$3%+0.35%)/11,1,$D$219-$D$28+1,$P$220-(SUM($P$4:P28)))*-1,2)</f>
        <v>25839.599999999999</v>
      </c>
      <c r="U29" s="2116"/>
      <c r="V29" s="2116"/>
      <c r="W29" s="2116"/>
      <c r="X29" s="783"/>
      <c r="Y29" s="781"/>
      <c r="Z29" s="781"/>
      <c r="AA29" s="783"/>
    </row>
    <row r="30" spans="1:27">
      <c r="A30" s="2112">
        <v>27</v>
      </c>
      <c r="B30" s="2313"/>
      <c r="C30" s="2313"/>
      <c r="D30" s="2317">
        <f t="shared" ref="D30:D39" si="2">$D$28</f>
        <v>2015</v>
      </c>
      <c r="E30" s="2317"/>
      <c r="F30" s="2317"/>
      <c r="G30" s="2317"/>
      <c r="H30" s="2317" t="s">
        <v>308</v>
      </c>
      <c r="I30" s="2317"/>
      <c r="J30" s="2317"/>
      <c r="K30" s="2317"/>
      <c r="L30" s="2317"/>
      <c r="M30" s="2317"/>
      <c r="N30" s="2317"/>
      <c r="O30" s="2317"/>
      <c r="P30" s="2318">
        <v>0</v>
      </c>
      <c r="Q30" s="2319"/>
      <c r="R30" s="2319"/>
      <c r="S30" s="2319"/>
      <c r="T30" s="2116">
        <f>ROUND(IPMT(($AA$3%+0.35%)/11,1,$D$219-$D$28+1,$P$220-(SUM($P$4:P29)))*-1,2)</f>
        <v>25839.599999999999</v>
      </c>
      <c r="U30" s="2116"/>
      <c r="V30" s="2116"/>
      <c r="W30" s="2116"/>
      <c r="X30" s="783"/>
      <c r="Y30" s="781"/>
      <c r="Z30" s="781"/>
      <c r="AA30" s="783"/>
    </row>
    <row r="31" spans="1:27">
      <c r="A31" s="2112">
        <v>28</v>
      </c>
      <c r="B31" s="2313"/>
      <c r="C31" s="2313"/>
      <c r="D31" s="2317">
        <f t="shared" si="2"/>
        <v>2015</v>
      </c>
      <c r="E31" s="2317"/>
      <c r="F31" s="2317"/>
      <c r="G31" s="2317"/>
      <c r="H31" s="2317" t="s">
        <v>309</v>
      </c>
      <c r="I31" s="2317"/>
      <c r="J31" s="2317"/>
      <c r="K31" s="2317"/>
      <c r="L31" s="2317"/>
      <c r="M31" s="2317"/>
      <c r="N31" s="2317"/>
      <c r="O31" s="2317"/>
      <c r="P31" s="2318">
        <v>0</v>
      </c>
      <c r="Q31" s="2319"/>
      <c r="R31" s="2319"/>
      <c r="S31" s="2319"/>
      <c r="T31" s="2116">
        <f>ROUND(IPMT(($AA$3%+0.35%)/11,1,$D$219-$D$28+1,$P$220-(SUM($P$4:P30)))*-1,2)</f>
        <v>25839.599999999999</v>
      </c>
      <c r="U31" s="2116"/>
      <c r="V31" s="2116"/>
      <c r="W31" s="2116"/>
      <c r="X31" s="783"/>
      <c r="Y31" s="781"/>
      <c r="Z31" s="781"/>
      <c r="AA31" s="783"/>
    </row>
    <row r="32" spans="1:27">
      <c r="A32" s="2112">
        <v>29</v>
      </c>
      <c r="B32" s="2313"/>
      <c r="C32" s="2313"/>
      <c r="D32" s="2317">
        <f t="shared" si="2"/>
        <v>2015</v>
      </c>
      <c r="E32" s="2317"/>
      <c r="F32" s="2317"/>
      <c r="G32" s="2317"/>
      <c r="H32" s="2317" t="s">
        <v>310</v>
      </c>
      <c r="I32" s="2317"/>
      <c r="J32" s="2317"/>
      <c r="K32" s="2317"/>
      <c r="L32" s="2317"/>
      <c r="M32" s="2317"/>
      <c r="N32" s="2317"/>
      <c r="O32" s="2317"/>
      <c r="P32" s="2318">
        <v>0</v>
      </c>
      <c r="Q32" s="2319"/>
      <c r="R32" s="2319"/>
      <c r="S32" s="2319"/>
      <c r="T32" s="2116">
        <f>ROUND(IPMT(($AA$3%+0.35%)/11,1,$D$219-$D$28+1,$P$220-(SUM($P$4:P31)))*-1,2)</f>
        <v>25839.599999999999</v>
      </c>
      <c r="U32" s="2116"/>
      <c r="V32" s="2116"/>
      <c r="W32" s="2116"/>
      <c r="X32" s="783"/>
      <c r="Y32" s="781"/>
      <c r="Z32" s="781"/>
      <c r="AA32" s="783"/>
    </row>
    <row r="33" spans="1:27">
      <c r="A33" s="2112">
        <v>30</v>
      </c>
      <c r="B33" s="2313"/>
      <c r="C33" s="2313"/>
      <c r="D33" s="2317">
        <f t="shared" si="2"/>
        <v>2015</v>
      </c>
      <c r="E33" s="2317"/>
      <c r="F33" s="2317"/>
      <c r="G33" s="2317"/>
      <c r="H33" s="2317" t="s">
        <v>311</v>
      </c>
      <c r="I33" s="2317"/>
      <c r="J33" s="2317"/>
      <c r="K33" s="2317"/>
      <c r="L33" s="2317"/>
      <c r="M33" s="2317"/>
      <c r="N33" s="2317"/>
      <c r="O33" s="2317"/>
      <c r="P33" s="2318">
        <v>0</v>
      </c>
      <c r="Q33" s="2319"/>
      <c r="R33" s="2319"/>
      <c r="S33" s="2319"/>
      <c r="T33" s="2116">
        <f>ROUND(IPMT(($AA$3%+0.35%)/11,1,$D$219-$D$28+1,$P$220-(SUM($P$4:P32)))*-1,2)</f>
        <v>25839.599999999999</v>
      </c>
      <c r="U33" s="2116"/>
      <c r="V33" s="2116"/>
      <c r="W33" s="2116"/>
      <c r="X33" s="783"/>
      <c r="Y33" s="781"/>
      <c r="Z33" s="781"/>
      <c r="AA33" s="783"/>
    </row>
    <row r="34" spans="1:27">
      <c r="A34" s="2112">
        <v>31</v>
      </c>
      <c r="B34" s="2313"/>
      <c r="C34" s="2313"/>
      <c r="D34" s="2317">
        <f t="shared" si="2"/>
        <v>2015</v>
      </c>
      <c r="E34" s="2317"/>
      <c r="F34" s="2317"/>
      <c r="G34" s="2317"/>
      <c r="H34" s="2317" t="s">
        <v>312</v>
      </c>
      <c r="I34" s="2317"/>
      <c r="J34" s="2317"/>
      <c r="K34" s="2317"/>
      <c r="L34" s="2317"/>
      <c r="M34" s="2317"/>
      <c r="N34" s="2317"/>
      <c r="O34" s="2317"/>
      <c r="P34" s="2318">
        <v>24482</v>
      </c>
      <c r="Q34" s="2319"/>
      <c r="R34" s="2319"/>
      <c r="S34" s="2319"/>
      <c r="T34" s="2116">
        <f>ROUND(IPMT(($AA$3%+0.35%)/11,1,$D$219-$D$28+1,$P$220-(SUM($P$4:P33)))*-1,2)</f>
        <v>25839.599999999999</v>
      </c>
      <c r="U34" s="2116"/>
      <c r="V34" s="2116"/>
      <c r="W34" s="2116"/>
      <c r="X34" s="783"/>
      <c r="Y34" s="781"/>
      <c r="Z34" s="781"/>
      <c r="AA34" s="783"/>
    </row>
    <row r="35" spans="1:27">
      <c r="A35" s="2112">
        <v>32</v>
      </c>
      <c r="B35" s="2313"/>
      <c r="C35" s="2313"/>
      <c r="D35" s="2317">
        <f t="shared" si="2"/>
        <v>2015</v>
      </c>
      <c r="E35" s="2317"/>
      <c r="F35" s="2317"/>
      <c r="G35" s="2317"/>
      <c r="H35" s="2317" t="s">
        <v>313</v>
      </c>
      <c r="I35" s="2317"/>
      <c r="J35" s="2317"/>
      <c r="K35" s="2317"/>
      <c r="L35" s="2317"/>
      <c r="M35" s="2317"/>
      <c r="N35" s="2317"/>
      <c r="O35" s="2317"/>
      <c r="P35" s="2318">
        <v>24482</v>
      </c>
      <c r="Q35" s="2319"/>
      <c r="R35" s="2319"/>
      <c r="S35" s="2319"/>
      <c r="T35" s="2116">
        <f>ROUND(IPMT(($AA$3%+0.35%)/11,1,$D$219-$D$28+1,$P$220-(SUM($P$4:P34)))*-1,2)</f>
        <v>25696.04</v>
      </c>
      <c r="U35" s="2116"/>
      <c r="V35" s="2116"/>
      <c r="W35" s="2116"/>
      <c r="X35" s="783"/>
      <c r="Y35" s="781"/>
      <c r="Z35" s="781"/>
      <c r="AA35" s="783"/>
    </row>
    <row r="36" spans="1:27">
      <c r="A36" s="2112">
        <v>33</v>
      </c>
      <c r="B36" s="2313"/>
      <c r="C36" s="2313"/>
      <c r="D36" s="2317">
        <f t="shared" si="2"/>
        <v>2015</v>
      </c>
      <c r="E36" s="2317"/>
      <c r="F36" s="2317"/>
      <c r="G36" s="2317"/>
      <c r="H36" s="2317" t="s">
        <v>314</v>
      </c>
      <c r="I36" s="2317"/>
      <c r="J36" s="2317"/>
      <c r="K36" s="2317"/>
      <c r="L36" s="2317"/>
      <c r="M36" s="2317"/>
      <c r="N36" s="2317"/>
      <c r="O36" s="2317"/>
      <c r="P36" s="2318">
        <v>24482</v>
      </c>
      <c r="Q36" s="2319"/>
      <c r="R36" s="2319"/>
      <c r="S36" s="2319"/>
      <c r="T36" s="2116">
        <f>ROUND(IPMT(($AA$3%+0.35%)/11,1,$D$219-$D$28+1,$P$220-(SUM($P$4:P35)))*-1,2)</f>
        <v>25552.49</v>
      </c>
      <c r="U36" s="2116"/>
      <c r="V36" s="2116"/>
      <c r="W36" s="2116"/>
      <c r="X36" s="783"/>
      <c r="Y36" s="781"/>
      <c r="Z36" s="781"/>
      <c r="AA36" s="783"/>
    </row>
    <row r="37" spans="1:27">
      <c r="A37" s="2112">
        <v>34</v>
      </c>
      <c r="B37" s="2313"/>
      <c r="C37" s="2313"/>
      <c r="D37" s="2317">
        <f t="shared" si="2"/>
        <v>2015</v>
      </c>
      <c r="E37" s="2317"/>
      <c r="F37" s="2317"/>
      <c r="G37" s="2317"/>
      <c r="H37" s="2317" t="s">
        <v>315</v>
      </c>
      <c r="I37" s="2317"/>
      <c r="J37" s="2317"/>
      <c r="K37" s="2317"/>
      <c r="L37" s="2317"/>
      <c r="M37" s="2317"/>
      <c r="N37" s="2317"/>
      <c r="O37" s="2317"/>
      <c r="P37" s="2318">
        <v>24482</v>
      </c>
      <c r="Q37" s="2319"/>
      <c r="R37" s="2319"/>
      <c r="S37" s="2319"/>
      <c r="T37" s="2116">
        <f>ROUND(IPMT(($AA$3%+0.35%)/11,1,$D$219-$D$28+1,$P$220-(SUM($P$4:P36)))*-1,2)</f>
        <v>25408.94</v>
      </c>
      <c r="U37" s="2116"/>
      <c r="V37" s="2116"/>
      <c r="W37" s="2116"/>
      <c r="X37" s="783"/>
      <c r="Y37" s="781"/>
      <c r="Z37" s="781"/>
      <c r="AA37" s="783"/>
    </row>
    <row r="38" spans="1:27">
      <c r="A38" s="2112">
        <v>35</v>
      </c>
      <c r="B38" s="2313"/>
      <c r="C38" s="2313"/>
      <c r="D38" s="2317">
        <f t="shared" si="2"/>
        <v>2015</v>
      </c>
      <c r="E38" s="2317"/>
      <c r="F38" s="2317"/>
      <c r="G38" s="2317"/>
      <c r="H38" s="2317" t="s">
        <v>316</v>
      </c>
      <c r="I38" s="2317"/>
      <c r="J38" s="2317"/>
      <c r="K38" s="2317"/>
      <c r="L38" s="2317"/>
      <c r="M38" s="2317"/>
      <c r="N38" s="2317"/>
      <c r="O38" s="2317"/>
      <c r="P38" s="2318">
        <v>24482</v>
      </c>
      <c r="Q38" s="2319"/>
      <c r="R38" s="2319"/>
      <c r="S38" s="2319"/>
      <c r="T38" s="2116">
        <f>ROUND(IPMT(($AA$3%+0.35%)/11,1,$D$219-$D$28+1,$P$220-(SUM($P$4:P37)))*-1,2)</f>
        <v>25265.38</v>
      </c>
      <c r="U38" s="2116"/>
      <c r="V38" s="2116"/>
      <c r="W38" s="2116"/>
      <c r="X38" s="783"/>
      <c r="Y38" s="781"/>
      <c r="Z38" s="781"/>
      <c r="AA38" s="783"/>
    </row>
    <row r="39" spans="1:27">
      <c r="A39" s="2112">
        <v>36</v>
      </c>
      <c r="B39" s="2313"/>
      <c r="C39" s="2313"/>
      <c r="D39" s="2317">
        <f t="shared" si="2"/>
        <v>2015</v>
      </c>
      <c r="E39" s="2317"/>
      <c r="F39" s="2317"/>
      <c r="G39" s="2317"/>
      <c r="H39" s="2317" t="s">
        <v>317</v>
      </c>
      <c r="I39" s="2317"/>
      <c r="J39" s="2317"/>
      <c r="K39" s="2317"/>
      <c r="L39" s="2317"/>
      <c r="M39" s="2317"/>
      <c r="N39" s="2317"/>
      <c r="O39" s="2317"/>
      <c r="P39" s="2318">
        <v>24482</v>
      </c>
      <c r="Q39" s="2319"/>
      <c r="R39" s="2319"/>
      <c r="S39" s="2319"/>
      <c r="T39" s="2116">
        <f>ROUND(IPMT(($AA$3%+0.35%)/11,1,$D$219-$D$28+1,$P$220-(SUM($P$4:P38)))*-1,2)</f>
        <v>25121.83</v>
      </c>
      <c r="U39" s="2116"/>
      <c r="V39" s="2116"/>
      <c r="W39" s="2116"/>
      <c r="X39" s="783"/>
      <c r="Y39" s="2324">
        <f>SUM(T28:W39)</f>
        <v>307921.88</v>
      </c>
      <c r="Z39" s="2325"/>
      <c r="AA39" s="783"/>
    </row>
    <row r="40" spans="1:27">
      <c r="A40" s="2326">
        <v>37</v>
      </c>
      <c r="B40" s="2327"/>
      <c r="C40" s="2327"/>
      <c r="D40" s="2328">
        <f>D28+1</f>
        <v>2016</v>
      </c>
      <c r="E40" s="2328"/>
      <c r="F40" s="2328"/>
      <c r="G40" s="2328"/>
      <c r="H40" s="2328" t="s">
        <v>306</v>
      </c>
      <c r="I40" s="2328"/>
      <c r="J40" s="2328"/>
      <c r="K40" s="2328"/>
      <c r="L40" s="2328"/>
      <c r="M40" s="2328"/>
      <c r="N40" s="2328"/>
      <c r="O40" s="2328"/>
      <c r="P40" s="2318">
        <v>24482</v>
      </c>
      <c r="Q40" s="2319"/>
      <c r="R40" s="2319"/>
      <c r="S40" s="2319"/>
      <c r="T40" s="2331">
        <f>ROUND(IPMT(($AA$3%+0.35%)/11,1,$D$219-$D$28+1,$P$220-(SUM($P$4:P39)))*-1,2)</f>
        <v>24978.28</v>
      </c>
      <c r="U40" s="2331"/>
      <c r="V40" s="2331"/>
      <c r="W40" s="2331"/>
      <c r="X40" s="783"/>
      <c r="Y40" s="781"/>
      <c r="Z40" s="781"/>
      <c r="AA40" s="783"/>
    </row>
    <row r="41" spans="1:27">
      <c r="A41" s="2112">
        <v>38</v>
      </c>
      <c r="B41" s="2313"/>
      <c r="C41" s="2313"/>
      <c r="D41" s="2317">
        <f>$D$40</f>
        <v>2016</v>
      </c>
      <c r="E41" s="2317"/>
      <c r="F41" s="2317"/>
      <c r="G41" s="2317"/>
      <c r="H41" s="2317" t="s">
        <v>307</v>
      </c>
      <c r="I41" s="2317"/>
      <c r="J41" s="2317"/>
      <c r="K41" s="2317"/>
      <c r="L41" s="2317"/>
      <c r="M41" s="2317"/>
      <c r="N41" s="2317"/>
      <c r="O41" s="2317"/>
      <c r="P41" s="2318">
        <v>24482</v>
      </c>
      <c r="Q41" s="2319"/>
      <c r="R41" s="2319"/>
      <c r="S41" s="2319"/>
      <c r="T41" s="2116">
        <f>ROUND(IPMT(($AA$3%+0.35%)/11,1,$D$219-$D$40+1,$P$220-(SUM($P$4:P40)))*-1,2)</f>
        <v>24834.720000000001</v>
      </c>
      <c r="U41" s="2116"/>
      <c r="V41" s="2116"/>
      <c r="W41" s="2116"/>
      <c r="X41" s="783"/>
      <c r="Y41" s="781"/>
      <c r="Z41" s="781"/>
      <c r="AA41" s="783"/>
    </row>
    <row r="42" spans="1:27">
      <c r="A42" s="2112">
        <v>39</v>
      </c>
      <c r="B42" s="2313"/>
      <c r="C42" s="2313"/>
      <c r="D42" s="2317">
        <f t="shared" ref="D42:D51" si="3">$D$40</f>
        <v>2016</v>
      </c>
      <c r="E42" s="2317"/>
      <c r="F42" s="2317"/>
      <c r="G42" s="2317"/>
      <c r="H42" s="2317" t="s">
        <v>308</v>
      </c>
      <c r="I42" s="2317"/>
      <c r="J42" s="2317"/>
      <c r="K42" s="2317"/>
      <c r="L42" s="2317"/>
      <c r="M42" s="2317"/>
      <c r="N42" s="2317"/>
      <c r="O42" s="2317"/>
      <c r="P42" s="2318">
        <v>24482</v>
      </c>
      <c r="Q42" s="2319"/>
      <c r="R42" s="2319"/>
      <c r="S42" s="2319"/>
      <c r="T42" s="2116">
        <f>ROUND(IPMT(($AA$3%+0.35%)/11,1,$D$219-$D$40+1,$P$220-(SUM($P$4:P41)))*-1,2)</f>
        <v>24691.17</v>
      </c>
      <c r="U42" s="2116"/>
      <c r="V42" s="2116"/>
      <c r="W42" s="2116"/>
      <c r="X42" s="783"/>
      <c r="Y42" s="781"/>
      <c r="Z42" s="781"/>
      <c r="AA42" s="783"/>
    </row>
    <row r="43" spans="1:27">
      <c r="A43" s="2112">
        <v>40</v>
      </c>
      <c r="B43" s="2313"/>
      <c r="C43" s="2313"/>
      <c r="D43" s="2317">
        <f t="shared" si="3"/>
        <v>2016</v>
      </c>
      <c r="E43" s="2317"/>
      <c r="F43" s="2317"/>
      <c r="G43" s="2317"/>
      <c r="H43" s="2317" t="s">
        <v>309</v>
      </c>
      <c r="I43" s="2317"/>
      <c r="J43" s="2317"/>
      <c r="K43" s="2317"/>
      <c r="L43" s="2317"/>
      <c r="M43" s="2317"/>
      <c r="N43" s="2317"/>
      <c r="O43" s="2317"/>
      <c r="P43" s="2318">
        <v>24482</v>
      </c>
      <c r="Q43" s="2319"/>
      <c r="R43" s="2319"/>
      <c r="S43" s="2319"/>
      <c r="T43" s="2116">
        <f>ROUND(IPMT(($AA$3%+0.35%)/11,1,$D$219-$D$40+1,$P$220-(SUM($P$4:P42)))*-1,2)</f>
        <v>24547.62</v>
      </c>
      <c r="U43" s="2116"/>
      <c r="V43" s="2116"/>
      <c r="W43" s="2116"/>
      <c r="X43" s="783"/>
      <c r="Y43" s="781"/>
      <c r="Z43" s="781"/>
      <c r="AA43" s="783"/>
    </row>
    <row r="44" spans="1:27">
      <c r="A44" s="2112">
        <v>41</v>
      </c>
      <c r="B44" s="2313"/>
      <c r="C44" s="2313"/>
      <c r="D44" s="2317">
        <f t="shared" si="3"/>
        <v>2016</v>
      </c>
      <c r="E44" s="2317"/>
      <c r="F44" s="2317"/>
      <c r="G44" s="2317"/>
      <c r="H44" s="2317" t="s">
        <v>310</v>
      </c>
      <c r="I44" s="2317"/>
      <c r="J44" s="2317"/>
      <c r="K44" s="2317"/>
      <c r="L44" s="2317"/>
      <c r="M44" s="2317"/>
      <c r="N44" s="2317"/>
      <c r="O44" s="2317"/>
      <c r="P44" s="2318">
        <v>24482</v>
      </c>
      <c r="Q44" s="2319"/>
      <c r="R44" s="2319"/>
      <c r="S44" s="2319"/>
      <c r="T44" s="2116">
        <f>ROUND(IPMT(($AA$3%+0.35%)/11,1,$D$219-$D$40+1,$P$220-(SUM($P$4:P43)))*-1,2)</f>
        <v>24404.06</v>
      </c>
      <c r="U44" s="2116"/>
      <c r="V44" s="2116"/>
      <c r="W44" s="2116"/>
      <c r="X44" s="783"/>
      <c r="Y44" s="781"/>
      <c r="Z44" s="781"/>
      <c r="AA44" s="783"/>
    </row>
    <row r="45" spans="1:27">
      <c r="A45" s="2112">
        <v>42</v>
      </c>
      <c r="B45" s="2313"/>
      <c r="C45" s="2313"/>
      <c r="D45" s="2317">
        <f t="shared" si="3"/>
        <v>2016</v>
      </c>
      <c r="E45" s="2317"/>
      <c r="F45" s="2317"/>
      <c r="G45" s="2317"/>
      <c r="H45" s="2317" t="s">
        <v>311</v>
      </c>
      <c r="I45" s="2317"/>
      <c r="J45" s="2317"/>
      <c r="K45" s="2317"/>
      <c r="L45" s="2317"/>
      <c r="M45" s="2317"/>
      <c r="N45" s="2317"/>
      <c r="O45" s="2317"/>
      <c r="P45" s="2318">
        <v>24482</v>
      </c>
      <c r="Q45" s="2319"/>
      <c r="R45" s="2319"/>
      <c r="S45" s="2319"/>
      <c r="T45" s="2116">
        <f>ROUND(IPMT(($AA$3%+0.35%)/11,1,$D$219-$D$40+1,$P$220-(SUM($P$4:P44)))*-1,2)</f>
        <v>24260.51</v>
      </c>
      <c r="U45" s="2116"/>
      <c r="V45" s="2116"/>
      <c r="W45" s="2116"/>
      <c r="X45" s="783"/>
      <c r="Y45" s="781"/>
      <c r="Z45" s="781"/>
      <c r="AA45" s="783"/>
    </row>
    <row r="46" spans="1:27">
      <c r="A46" s="2112">
        <v>43</v>
      </c>
      <c r="B46" s="2313"/>
      <c r="C46" s="2313"/>
      <c r="D46" s="2317">
        <f t="shared" si="3"/>
        <v>2016</v>
      </c>
      <c r="E46" s="2317"/>
      <c r="F46" s="2317"/>
      <c r="G46" s="2317"/>
      <c r="H46" s="2317" t="s">
        <v>312</v>
      </c>
      <c r="I46" s="2317"/>
      <c r="J46" s="2317"/>
      <c r="K46" s="2317"/>
      <c r="L46" s="2317"/>
      <c r="M46" s="2317"/>
      <c r="N46" s="2317"/>
      <c r="O46" s="2317"/>
      <c r="P46" s="2318">
        <v>24482</v>
      </c>
      <c r="Q46" s="2319"/>
      <c r="R46" s="2319"/>
      <c r="S46" s="2319"/>
      <c r="T46" s="2116">
        <f>ROUND(IPMT(($AA$3%+0.35%)/11,1,$D$219-$D$40+1,$P$220-(SUM($P$4:P45)))*-1,2)</f>
        <v>24116.95</v>
      </c>
      <c r="U46" s="2116"/>
      <c r="V46" s="2116"/>
      <c r="W46" s="2116"/>
      <c r="X46" s="783"/>
      <c r="Y46" s="781"/>
      <c r="Z46" s="781"/>
      <c r="AA46" s="783"/>
    </row>
    <row r="47" spans="1:27">
      <c r="A47" s="2112">
        <v>44</v>
      </c>
      <c r="B47" s="2313"/>
      <c r="C47" s="2313"/>
      <c r="D47" s="2317">
        <f t="shared" si="3"/>
        <v>2016</v>
      </c>
      <c r="E47" s="2317"/>
      <c r="F47" s="2317"/>
      <c r="G47" s="2317"/>
      <c r="H47" s="2317" t="s">
        <v>313</v>
      </c>
      <c r="I47" s="2317"/>
      <c r="J47" s="2317"/>
      <c r="K47" s="2317"/>
      <c r="L47" s="2317"/>
      <c r="M47" s="2317"/>
      <c r="N47" s="2317"/>
      <c r="O47" s="2317"/>
      <c r="P47" s="2318">
        <v>24482</v>
      </c>
      <c r="Q47" s="2319"/>
      <c r="R47" s="2319"/>
      <c r="S47" s="2319"/>
      <c r="T47" s="2116">
        <f>ROUND(IPMT(($AA$3%+0.35%)/11,1,$D$219-$D$40+1,$P$220-(SUM($P$4:P46)))*-1,2)</f>
        <v>23973.4</v>
      </c>
      <c r="U47" s="2116"/>
      <c r="V47" s="2116"/>
      <c r="W47" s="2116"/>
      <c r="X47" s="783"/>
      <c r="Y47" s="781"/>
      <c r="Z47" s="781"/>
      <c r="AA47" s="783"/>
    </row>
    <row r="48" spans="1:27">
      <c r="A48" s="2112">
        <v>45</v>
      </c>
      <c r="B48" s="2313"/>
      <c r="C48" s="2313"/>
      <c r="D48" s="2317">
        <f t="shared" si="3"/>
        <v>2016</v>
      </c>
      <c r="E48" s="2317"/>
      <c r="F48" s="2317"/>
      <c r="G48" s="2317"/>
      <c r="H48" s="2317" t="s">
        <v>314</v>
      </c>
      <c r="I48" s="2317"/>
      <c r="J48" s="2317"/>
      <c r="K48" s="2317"/>
      <c r="L48" s="2317"/>
      <c r="M48" s="2317"/>
      <c r="N48" s="2317"/>
      <c r="O48" s="2317"/>
      <c r="P48" s="2318">
        <v>24482</v>
      </c>
      <c r="Q48" s="2319"/>
      <c r="R48" s="2319"/>
      <c r="S48" s="2319"/>
      <c r="T48" s="2116">
        <f>ROUND(IPMT(($AA$3%+0.35%)/11,1,$D$219-$D$40+1,$P$220-(SUM($P$4:P47)))*-1,2)</f>
        <v>23829.85</v>
      </c>
      <c r="U48" s="2116"/>
      <c r="V48" s="2116"/>
      <c r="W48" s="2116"/>
      <c r="X48" s="783"/>
      <c r="Y48" s="781"/>
      <c r="Z48" s="781"/>
      <c r="AA48" s="783"/>
    </row>
    <row r="49" spans="1:27">
      <c r="A49" s="2112">
        <v>46</v>
      </c>
      <c r="B49" s="2313"/>
      <c r="C49" s="2313"/>
      <c r="D49" s="2317">
        <f t="shared" si="3"/>
        <v>2016</v>
      </c>
      <c r="E49" s="2317"/>
      <c r="F49" s="2317"/>
      <c r="G49" s="2317"/>
      <c r="H49" s="2317" t="s">
        <v>315</v>
      </c>
      <c r="I49" s="2317"/>
      <c r="J49" s="2317"/>
      <c r="K49" s="2317"/>
      <c r="L49" s="2317"/>
      <c r="M49" s="2317"/>
      <c r="N49" s="2317"/>
      <c r="O49" s="2317"/>
      <c r="P49" s="2318">
        <v>24482</v>
      </c>
      <c r="Q49" s="2319"/>
      <c r="R49" s="2319"/>
      <c r="S49" s="2319"/>
      <c r="T49" s="2116">
        <f>ROUND(IPMT(($AA$3%+0.35%)/11,1,$D$219-$D$40+1,$P$220-(SUM($P$4:P48)))*-1,2)</f>
        <v>23686.29</v>
      </c>
      <c r="U49" s="2116"/>
      <c r="V49" s="2116"/>
      <c r="W49" s="2116"/>
      <c r="X49" s="783"/>
      <c r="Y49" s="781"/>
      <c r="Z49" s="781"/>
      <c r="AA49" s="783"/>
    </row>
    <row r="50" spans="1:27">
      <c r="A50" s="2112">
        <v>47</v>
      </c>
      <c r="B50" s="2313"/>
      <c r="C50" s="2313"/>
      <c r="D50" s="2317">
        <f t="shared" si="3"/>
        <v>2016</v>
      </c>
      <c r="E50" s="2317"/>
      <c r="F50" s="2317"/>
      <c r="G50" s="2317"/>
      <c r="H50" s="2317" t="s">
        <v>316</v>
      </c>
      <c r="I50" s="2317"/>
      <c r="J50" s="2317"/>
      <c r="K50" s="2317"/>
      <c r="L50" s="2317"/>
      <c r="M50" s="2317"/>
      <c r="N50" s="2317"/>
      <c r="O50" s="2317"/>
      <c r="P50" s="2318">
        <v>24482</v>
      </c>
      <c r="Q50" s="2319"/>
      <c r="R50" s="2319"/>
      <c r="S50" s="2319"/>
      <c r="T50" s="2116">
        <f>ROUND(IPMT(($AA$3%+0.35%)/11,1,$D$219-$D$40+1,$P$220-(SUM($P$4:P49)))*-1,2)</f>
        <v>23542.74</v>
      </c>
      <c r="U50" s="2116"/>
      <c r="V50" s="2116"/>
      <c r="W50" s="2116"/>
      <c r="X50" s="783"/>
      <c r="Y50" s="781"/>
      <c r="Z50" s="781"/>
      <c r="AA50" s="783"/>
    </row>
    <row r="51" spans="1:27">
      <c r="A51" s="2112">
        <v>48</v>
      </c>
      <c r="B51" s="2313"/>
      <c r="C51" s="2313"/>
      <c r="D51" s="2317">
        <f t="shared" si="3"/>
        <v>2016</v>
      </c>
      <c r="E51" s="2317"/>
      <c r="F51" s="2317"/>
      <c r="G51" s="2317"/>
      <c r="H51" s="2317" t="s">
        <v>317</v>
      </c>
      <c r="I51" s="2317"/>
      <c r="J51" s="2317"/>
      <c r="K51" s="2317"/>
      <c r="L51" s="2317"/>
      <c r="M51" s="2317"/>
      <c r="N51" s="2317"/>
      <c r="O51" s="2317"/>
      <c r="P51" s="2318">
        <v>24482</v>
      </c>
      <c r="Q51" s="2319"/>
      <c r="R51" s="2319"/>
      <c r="S51" s="2319"/>
      <c r="T51" s="2116">
        <f>ROUND(IPMT(($AA$3%+0.35%)/11,1,$D$219-$D$40+1,$P$220-(SUM($P$4:P50)))*-1,2)</f>
        <v>23399.19</v>
      </c>
      <c r="U51" s="2116"/>
      <c r="V51" s="2116"/>
      <c r="W51" s="2116"/>
      <c r="X51" s="783"/>
      <c r="Y51" s="2324">
        <f>SUM(T40:W51)</f>
        <v>290264.78000000003</v>
      </c>
      <c r="Z51" s="2325"/>
      <c r="AA51" s="783"/>
    </row>
    <row r="52" spans="1:27">
      <c r="A52" s="2326">
        <v>49</v>
      </c>
      <c r="B52" s="2327"/>
      <c r="C52" s="2327"/>
      <c r="D52" s="2328">
        <f>D40+1</f>
        <v>2017</v>
      </c>
      <c r="E52" s="2328"/>
      <c r="F52" s="2328"/>
      <c r="G52" s="2328"/>
      <c r="H52" s="2328" t="s">
        <v>306</v>
      </c>
      <c r="I52" s="2328"/>
      <c r="J52" s="2328"/>
      <c r="K52" s="2328"/>
      <c r="L52" s="2328"/>
      <c r="M52" s="2328"/>
      <c r="N52" s="2328"/>
      <c r="O52" s="2328"/>
      <c r="P52" s="2318">
        <v>24482</v>
      </c>
      <c r="Q52" s="2319"/>
      <c r="R52" s="2319"/>
      <c r="S52" s="2319"/>
      <c r="T52" s="2331">
        <f>ROUND(IPMT(($AA$3%+0.35%)/11,1,$D$219-$D$40+1,$P$220-(SUM($P$4:P51)))*-1,2)</f>
        <v>23255.63</v>
      </c>
      <c r="U52" s="2331"/>
      <c r="V52" s="2331"/>
      <c r="W52" s="2331"/>
      <c r="X52" s="783"/>
      <c r="Y52" s="781"/>
      <c r="Z52" s="781"/>
      <c r="AA52" s="783"/>
    </row>
    <row r="53" spans="1:27">
      <c r="A53" s="2112">
        <v>50</v>
      </c>
      <c r="B53" s="2313"/>
      <c r="C53" s="2313"/>
      <c r="D53" s="2317">
        <f>$D$52</f>
        <v>2017</v>
      </c>
      <c r="E53" s="2317"/>
      <c r="F53" s="2317"/>
      <c r="G53" s="2317"/>
      <c r="H53" s="2317" t="s">
        <v>307</v>
      </c>
      <c r="I53" s="2317"/>
      <c r="J53" s="2317"/>
      <c r="K53" s="2317"/>
      <c r="L53" s="2317"/>
      <c r="M53" s="2317"/>
      <c r="N53" s="2317"/>
      <c r="O53" s="2317"/>
      <c r="P53" s="2318">
        <v>24482</v>
      </c>
      <c r="Q53" s="2319"/>
      <c r="R53" s="2319"/>
      <c r="S53" s="2319"/>
      <c r="T53" s="2116">
        <f>ROUND(IPMT(($AA$3%+0.35%)/11,1,$D$219-$D$52+1,$P$220-(SUM($P$4:P52)))*-1,2)</f>
        <v>23112.080000000002</v>
      </c>
      <c r="U53" s="2116"/>
      <c r="V53" s="2116"/>
      <c r="W53" s="2116"/>
      <c r="X53" s="783"/>
      <c r="Y53" s="781"/>
      <c r="Z53" s="781"/>
      <c r="AA53" s="783"/>
    </row>
    <row r="54" spans="1:27">
      <c r="A54" s="2112">
        <v>51</v>
      </c>
      <c r="B54" s="2313"/>
      <c r="C54" s="2313"/>
      <c r="D54" s="2317">
        <f t="shared" ref="D54:D63" si="4">$D$52</f>
        <v>2017</v>
      </c>
      <c r="E54" s="2317"/>
      <c r="F54" s="2317"/>
      <c r="G54" s="2317"/>
      <c r="H54" s="2317" t="s">
        <v>308</v>
      </c>
      <c r="I54" s="2317"/>
      <c r="J54" s="2317"/>
      <c r="K54" s="2317"/>
      <c r="L54" s="2317"/>
      <c r="M54" s="2317"/>
      <c r="N54" s="2317"/>
      <c r="O54" s="2317"/>
      <c r="P54" s="2318">
        <v>24482</v>
      </c>
      <c r="Q54" s="2319"/>
      <c r="R54" s="2319"/>
      <c r="S54" s="2319"/>
      <c r="T54" s="2116">
        <f>ROUND(IPMT(($AA$3%+0.35%)/11,1,$D$219-$D$52+1,$P$220-(SUM($P$4:P53)))*-1,2)</f>
        <v>22968.53</v>
      </c>
      <c r="U54" s="2116"/>
      <c r="V54" s="2116"/>
      <c r="W54" s="2116"/>
      <c r="X54" s="783"/>
      <c r="Y54" s="781"/>
      <c r="Z54" s="781"/>
      <c r="AA54" s="783"/>
    </row>
    <row r="55" spans="1:27">
      <c r="A55" s="2112">
        <v>52</v>
      </c>
      <c r="B55" s="2313"/>
      <c r="C55" s="2313"/>
      <c r="D55" s="2317">
        <f t="shared" si="4"/>
        <v>2017</v>
      </c>
      <c r="E55" s="2317"/>
      <c r="F55" s="2317"/>
      <c r="G55" s="2317"/>
      <c r="H55" s="2317" t="s">
        <v>309</v>
      </c>
      <c r="I55" s="2317"/>
      <c r="J55" s="2317"/>
      <c r="K55" s="2317"/>
      <c r="L55" s="2317"/>
      <c r="M55" s="2317"/>
      <c r="N55" s="2317"/>
      <c r="O55" s="2317"/>
      <c r="P55" s="2318">
        <v>24482</v>
      </c>
      <c r="Q55" s="2319"/>
      <c r="R55" s="2319"/>
      <c r="S55" s="2319"/>
      <c r="T55" s="2116">
        <f>ROUND(IPMT(($AA$3%+0.35%)/11,1,$D$219-$D$52+1,$P$220-(SUM($P$4:P54)))*-1,2)</f>
        <v>22824.97</v>
      </c>
      <c r="U55" s="2116"/>
      <c r="V55" s="2116"/>
      <c r="W55" s="2116"/>
      <c r="X55" s="783"/>
      <c r="Y55" s="781"/>
      <c r="Z55" s="781"/>
      <c r="AA55" s="783"/>
    </row>
    <row r="56" spans="1:27">
      <c r="A56" s="2112">
        <v>53</v>
      </c>
      <c r="B56" s="2313"/>
      <c r="C56" s="2313"/>
      <c r="D56" s="2317">
        <f t="shared" si="4"/>
        <v>2017</v>
      </c>
      <c r="E56" s="2317"/>
      <c r="F56" s="2317"/>
      <c r="G56" s="2317"/>
      <c r="H56" s="2317" t="s">
        <v>310</v>
      </c>
      <c r="I56" s="2317"/>
      <c r="J56" s="2317"/>
      <c r="K56" s="2317"/>
      <c r="L56" s="2317"/>
      <c r="M56" s="2317"/>
      <c r="N56" s="2317"/>
      <c r="O56" s="2317"/>
      <c r="P56" s="2318">
        <v>24482</v>
      </c>
      <c r="Q56" s="2319"/>
      <c r="R56" s="2319"/>
      <c r="S56" s="2319"/>
      <c r="T56" s="2116">
        <f>ROUND(IPMT(($AA$3%+0.35%)/11,1,$D$219-$D$52+1,$P$220-(SUM($P$4:P55)))*-1,2)</f>
        <v>22681.42</v>
      </c>
      <c r="U56" s="2116"/>
      <c r="V56" s="2116"/>
      <c r="W56" s="2116"/>
      <c r="X56" s="783"/>
      <c r="Y56" s="781"/>
      <c r="Z56" s="781"/>
      <c r="AA56" s="783"/>
    </row>
    <row r="57" spans="1:27">
      <c r="A57" s="2112">
        <v>54</v>
      </c>
      <c r="B57" s="2313"/>
      <c r="C57" s="2313"/>
      <c r="D57" s="2317">
        <f t="shared" si="4"/>
        <v>2017</v>
      </c>
      <c r="E57" s="2317"/>
      <c r="F57" s="2317"/>
      <c r="G57" s="2317"/>
      <c r="H57" s="2317" t="s">
        <v>311</v>
      </c>
      <c r="I57" s="2317"/>
      <c r="J57" s="2317"/>
      <c r="K57" s="2317"/>
      <c r="L57" s="2317"/>
      <c r="M57" s="2317"/>
      <c r="N57" s="2317"/>
      <c r="O57" s="2317"/>
      <c r="P57" s="2318">
        <v>24482</v>
      </c>
      <c r="Q57" s="2319"/>
      <c r="R57" s="2319"/>
      <c r="S57" s="2319"/>
      <c r="T57" s="2116">
        <f>ROUND(IPMT(($AA$3%+0.35%)/11,1,$D$219-$D$52+1,$P$220-(SUM($P$4:P56)))*-1,2)</f>
        <v>22537.87</v>
      </c>
      <c r="U57" s="2116"/>
      <c r="V57" s="2116"/>
      <c r="W57" s="2116"/>
      <c r="X57" s="783"/>
      <c r="Y57" s="781"/>
      <c r="Z57" s="781"/>
      <c r="AA57" s="783"/>
    </row>
    <row r="58" spans="1:27">
      <c r="A58" s="2112">
        <v>55</v>
      </c>
      <c r="B58" s="2313"/>
      <c r="C58" s="2313"/>
      <c r="D58" s="2317">
        <f t="shared" si="4"/>
        <v>2017</v>
      </c>
      <c r="E58" s="2317"/>
      <c r="F58" s="2317"/>
      <c r="G58" s="2317"/>
      <c r="H58" s="2317" t="s">
        <v>312</v>
      </c>
      <c r="I58" s="2317"/>
      <c r="J58" s="2317"/>
      <c r="K58" s="2317"/>
      <c r="L58" s="2317"/>
      <c r="M58" s="2317"/>
      <c r="N58" s="2317"/>
      <c r="O58" s="2317"/>
      <c r="P58" s="2318">
        <v>24482</v>
      </c>
      <c r="Q58" s="2319"/>
      <c r="R58" s="2319"/>
      <c r="S58" s="2319"/>
      <c r="T58" s="2116">
        <f>ROUND(IPMT(($AA$3%+0.35%)/11,1,$D$219-$D$52+1,$P$220-(SUM($P$4:P57)))*-1,2)</f>
        <v>22394.31</v>
      </c>
      <c r="U58" s="2116"/>
      <c r="V58" s="2116"/>
      <c r="W58" s="2116"/>
      <c r="X58" s="783"/>
      <c r="Y58" s="781"/>
      <c r="Z58" s="781"/>
      <c r="AA58" s="783"/>
    </row>
    <row r="59" spans="1:27">
      <c r="A59" s="2112">
        <v>56</v>
      </c>
      <c r="B59" s="2313"/>
      <c r="C59" s="2313"/>
      <c r="D59" s="2317">
        <f t="shared" si="4"/>
        <v>2017</v>
      </c>
      <c r="E59" s="2317"/>
      <c r="F59" s="2317"/>
      <c r="G59" s="2317"/>
      <c r="H59" s="2317" t="s">
        <v>313</v>
      </c>
      <c r="I59" s="2317"/>
      <c r="J59" s="2317"/>
      <c r="K59" s="2317"/>
      <c r="L59" s="2317"/>
      <c r="M59" s="2317"/>
      <c r="N59" s="2317"/>
      <c r="O59" s="2317"/>
      <c r="P59" s="2318">
        <v>24482</v>
      </c>
      <c r="Q59" s="2319"/>
      <c r="R59" s="2319"/>
      <c r="S59" s="2319"/>
      <c r="T59" s="2116">
        <f>ROUND(IPMT(($AA$3%+0.35%)/11,1,$D$219-$D$52+1,$P$220-(SUM($P$4:P58)))*-1,2)</f>
        <v>22250.76</v>
      </c>
      <c r="U59" s="2116"/>
      <c r="V59" s="2116"/>
      <c r="W59" s="2116"/>
      <c r="X59" s="783"/>
      <c r="Y59" s="781"/>
      <c r="Z59" s="781"/>
      <c r="AA59" s="783"/>
    </row>
    <row r="60" spans="1:27">
      <c r="A60" s="2112">
        <v>57</v>
      </c>
      <c r="B60" s="2313"/>
      <c r="C60" s="2313"/>
      <c r="D60" s="2317">
        <f t="shared" si="4"/>
        <v>2017</v>
      </c>
      <c r="E60" s="2317"/>
      <c r="F60" s="2317"/>
      <c r="G60" s="2317"/>
      <c r="H60" s="2317" t="s">
        <v>314</v>
      </c>
      <c r="I60" s="2317"/>
      <c r="J60" s="2317"/>
      <c r="K60" s="2317"/>
      <c r="L60" s="2317"/>
      <c r="M60" s="2317"/>
      <c r="N60" s="2317"/>
      <c r="O60" s="2317"/>
      <c r="P60" s="2318">
        <v>24482</v>
      </c>
      <c r="Q60" s="2319"/>
      <c r="R60" s="2319"/>
      <c r="S60" s="2319"/>
      <c r="T60" s="2116">
        <f>ROUND(IPMT(($AA$3%+0.35%)/11,1,$D$219-$D$52+1,$P$220-(SUM($P$4:P59)))*-1,2)</f>
        <v>22107.200000000001</v>
      </c>
      <c r="U60" s="2116"/>
      <c r="V60" s="2116"/>
      <c r="W60" s="2116"/>
      <c r="X60" s="783"/>
      <c r="Y60" s="781"/>
      <c r="Z60" s="781"/>
      <c r="AA60" s="783"/>
    </row>
    <row r="61" spans="1:27">
      <c r="A61" s="2112">
        <v>58</v>
      </c>
      <c r="B61" s="2313"/>
      <c r="C61" s="2313"/>
      <c r="D61" s="2317">
        <f t="shared" si="4"/>
        <v>2017</v>
      </c>
      <c r="E61" s="2317"/>
      <c r="F61" s="2317"/>
      <c r="G61" s="2317"/>
      <c r="H61" s="2317" t="s">
        <v>315</v>
      </c>
      <c r="I61" s="2317"/>
      <c r="J61" s="2317"/>
      <c r="K61" s="2317"/>
      <c r="L61" s="2317"/>
      <c r="M61" s="2317"/>
      <c r="N61" s="2317"/>
      <c r="O61" s="2317"/>
      <c r="P61" s="2318">
        <v>24482</v>
      </c>
      <c r="Q61" s="2319"/>
      <c r="R61" s="2319"/>
      <c r="S61" s="2319"/>
      <c r="T61" s="2116">
        <f>ROUND(IPMT(($AA$3%+0.35%)/11,1,$D$219-$D$52+1,$P$220-(SUM($P$4:P60)))*-1,2)</f>
        <v>21963.65</v>
      </c>
      <c r="U61" s="2116"/>
      <c r="V61" s="2116"/>
      <c r="W61" s="2116"/>
      <c r="X61" s="783"/>
      <c r="Y61" s="781"/>
      <c r="Z61" s="781"/>
      <c r="AA61" s="783"/>
    </row>
    <row r="62" spans="1:27">
      <c r="A62" s="2112">
        <v>59</v>
      </c>
      <c r="B62" s="2313"/>
      <c r="C62" s="2313"/>
      <c r="D62" s="2317">
        <f t="shared" si="4"/>
        <v>2017</v>
      </c>
      <c r="E62" s="2317"/>
      <c r="F62" s="2317"/>
      <c r="G62" s="2317"/>
      <c r="H62" s="2317" t="s">
        <v>316</v>
      </c>
      <c r="I62" s="2317"/>
      <c r="J62" s="2317"/>
      <c r="K62" s="2317"/>
      <c r="L62" s="2317"/>
      <c r="M62" s="2317"/>
      <c r="N62" s="2317"/>
      <c r="O62" s="2317"/>
      <c r="P62" s="2318">
        <v>24482</v>
      </c>
      <c r="Q62" s="2319"/>
      <c r="R62" s="2319"/>
      <c r="S62" s="2319"/>
      <c r="T62" s="2116">
        <f>ROUND(IPMT(($AA$3%+0.35%)/11,1,$D$219-$D$52+1,$P$220-(SUM($P$4:P61)))*-1,2)</f>
        <v>21820.1</v>
      </c>
      <c r="U62" s="2116"/>
      <c r="V62" s="2116"/>
      <c r="W62" s="2116"/>
      <c r="X62" s="783"/>
      <c r="Y62" s="781"/>
      <c r="Z62" s="781"/>
      <c r="AA62" s="783"/>
    </row>
    <row r="63" spans="1:27">
      <c r="A63" s="2112">
        <v>60</v>
      </c>
      <c r="B63" s="2313"/>
      <c r="C63" s="2313"/>
      <c r="D63" s="2317">
        <f t="shared" si="4"/>
        <v>2017</v>
      </c>
      <c r="E63" s="2317"/>
      <c r="F63" s="2317"/>
      <c r="G63" s="2317"/>
      <c r="H63" s="2317" t="s">
        <v>317</v>
      </c>
      <c r="I63" s="2317"/>
      <c r="J63" s="2317"/>
      <c r="K63" s="2317"/>
      <c r="L63" s="2317"/>
      <c r="M63" s="2317"/>
      <c r="N63" s="2317"/>
      <c r="O63" s="2317"/>
      <c r="P63" s="2318">
        <v>24482</v>
      </c>
      <c r="Q63" s="2319"/>
      <c r="R63" s="2319"/>
      <c r="S63" s="2319"/>
      <c r="T63" s="2116">
        <f>ROUND(IPMT(($AA$3%+0.35%)/11,1,$D$219-$D$52+1,$P$220-(SUM($P$4:P62)))*-1,2)</f>
        <v>21676.54</v>
      </c>
      <c r="U63" s="2116"/>
      <c r="V63" s="2116"/>
      <c r="W63" s="2116"/>
      <c r="X63" s="783"/>
      <c r="Y63" s="2324">
        <f>SUM(T52:W63)</f>
        <v>269593.06</v>
      </c>
      <c r="Z63" s="2325"/>
      <c r="AA63" s="783"/>
    </row>
    <row r="64" spans="1:27">
      <c r="A64" s="2326">
        <v>13</v>
      </c>
      <c r="B64" s="2327"/>
      <c r="C64" s="2327"/>
      <c r="D64" s="2328">
        <f>D52+1</f>
        <v>2018</v>
      </c>
      <c r="E64" s="2328"/>
      <c r="F64" s="2328"/>
      <c r="G64" s="2328"/>
      <c r="H64" s="2328" t="s">
        <v>306</v>
      </c>
      <c r="I64" s="2328"/>
      <c r="J64" s="2328"/>
      <c r="K64" s="2328"/>
      <c r="L64" s="2328"/>
      <c r="M64" s="2328"/>
      <c r="N64" s="2328"/>
      <c r="O64" s="2328"/>
      <c r="P64" s="2318">
        <v>24482</v>
      </c>
      <c r="Q64" s="2319"/>
      <c r="R64" s="2319"/>
      <c r="S64" s="2319"/>
      <c r="T64" s="2331">
        <f>ROUND(IPMT(($AA$3%+0.35%)/11,1,$D$219-$D$52+1,$P$220-(SUM($P$4:P63)))*-1,2)</f>
        <v>21532.99</v>
      </c>
      <c r="U64" s="2331"/>
      <c r="V64" s="2331"/>
      <c r="W64" s="2331"/>
      <c r="X64" s="783"/>
      <c r="Y64" s="781"/>
      <c r="Z64" s="781"/>
      <c r="AA64" s="783"/>
    </row>
    <row r="65" spans="1:27">
      <c r="A65" s="2112">
        <v>14</v>
      </c>
      <c r="B65" s="2313"/>
      <c r="C65" s="2313"/>
      <c r="D65" s="2317">
        <f>$D$64</f>
        <v>2018</v>
      </c>
      <c r="E65" s="2317"/>
      <c r="F65" s="2317"/>
      <c r="G65" s="2317"/>
      <c r="H65" s="2317" t="s">
        <v>307</v>
      </c>
      <c r="I65" s="2317"/>
      <c r="J65" s="2317"/>
      <c r="K65" s="2317"/>
      <c r="L65" s="2317"/>
      <c r="M65" s="2317"/>
      <c r="N65" s="2317"/>
      <c r="O65" s="2317"/>
      <c r="P65" s="2318">
        <v>24482</v>
      </c>
      <c r="Q65" s="2319"/>
      <c r="R65" s="2319"/>
      <c r="S65" s="2319"/>
      <c r="T65" s="2116">
        <f>ROUND(IPMT(($AA$3%+0.35%)/11,1,$D$219-$D$64+1,$P$220-(SUM($P$4:P64)))*-1,2)</f>
        <v>21389.439999999999</v>
      </c>
      <c r="U65" s="2116"/>
      <c r="V65" s="2116"/>
      <c r="W65" s="2116"/>
      <c r="X65" s="783"/>
      <c r="Y65" s="781"/>
      <c r="Z65" s="781"/>
      <c r="AA65" s="783"/>
    </row>
    <row r="66" spans="1:27">
      <c r="A66" s="2112">
        <v>15</v>
      </c>
      <c r="B66" s="2313"/>
      <c r="C66" s="2313"/>
      <c r="D66" s="2317">
        <f t="shared" ref="D66:D75" si="5">$D$64</f>
        <v>2018</v>
      </c>
      <c r="E66" s="2317"/>
      <c r="F66" s="2317"/>
      <c r="G66" s="2317"/>
      <c r="H66" s="2317" t="s">
        <v>308</v>
      </c>
      <c r="I66" s="2317"/>
      <c r="J66" s="2317"/>
      <c r="K66" s="2317"/>
      <c r="L66" s="2317"/>
      <c r="M66" s="2317"/>
      <c r="N66" s="2317"/>
      <c r="O66" s="2317"/>
      <c r="P66" s="2318">
        <v>24482</v>
      </c>
      <c r="Q66" s="2319"/>
      <c r="R66" s="2319"/>
      <c r="S66" s="2319"/>
      <c r="T66" s="2116">
        <f>ROUND(IPMT(($AA$3%+0.35%)/11,1,$D$219-$D$64+1,$P$220-(SUM($P$4:P65)))*-1,2)</f>
        <v>21245.88</v>
      </c>
      <c r="U66" s="2116"/>
      <c r="V66" s="2116"/>
      <c r="W66" s="2116"/>
      <c r="X66" s="783"/>
      <c r="Y66" s="781"/>
      <c r="Z66" s="781"/>
      <c r="AA66" s="783"/>
    </row>
    <row r="67" spans="1:27">
      <c r="A67" s="2112">
        <v>16</v>
      </c>
      <c r="B67" s="2313"/>
      <c r="C67" s="2313"/>
      <c r="D67" s="2317">
        <f t="shared" si="5"/>
        <v>2018</v>
      </c>
      <c r="E67" s="2317"/>
      <c r="F67" s="2317"/>
      <c r="G67" s="2317"/>
      <c r="H67" s="2317" t="s">
        <v>309</v>
      </c>
      <c r="I67" s="2317"/>
      <c r="J67" s="2317"/>
      <c r="K67" s="2317"/>
      <c r="L67" s="2317"/>
      <c r="M67" s="2317"/>
      <c r="N67" s="2317"/>
      <c r="O67" s="2317"/>
      <c r="P67" s="2318">
        <v>24482</v>
      </c>
      <c r="Q67" s="2319"/>
      <c r="R67" s="2319"/>
      <c r="S67" s="2319"/>
      <c r="T67" s="2116">
        <f>ROUND(IPMT(($AA$3%+0.35%)/11,1,$D$219-$D$64+1,$P$220-(SUM($P$4:P66)))*-1,2)</f>
        <v>21102.33</v>
      </c>
      <c r="U67" s="2116"/>
      <c r="V67" s="2116"/>
      <c r="W67" s="2116"/>
      <c r="X67" s="783"/>
      <c r="Y67" s="781"/>
      <c r="Z67" s="781"/>
      <c r="AA67" s="783"/>
    </row>
    <row r="68" spans="1:27">
      <c r="A68" s="2112">
        <v>17</v>
      </c>
      <c r="B68" s="2313"/>
      <c r="C68" s="2313"/>
      <c r="D68" s="2317">
        <f t="shared" si="5"/>
        <v>2018</v>
      </c>
      <c r="E68" s="2317"/>
      <c r="F68" s="2317"/>
      <c r="G68" s="2317"/>
      <c r="H68" s="2317" t="s">
        <v>310</v>
      </c>
      <c r="I68" s="2317"/>
      <c r="J68" s="2317"/>
      <c r="K68" s="2317"/>
      <c r="L68" s="2317"/>
      <c r="M68" s="2317"/>
      <c r="N68" s="2317"/>
      <c r="O68" s="2317"/>
      <c r="P68" s="2318">
        <v>24482</v>
      </c>
      <c r="Q68" s="2319"/>
      <c r="R68" s="2319"/>
      <c r="S68" s="2319"/>
      <c r="T68" s="2116">
        <f>ROUND(IPMT(($AA$3%+0.35%)/11,1,$D$219-$D$64+1,$P$220-(SUM($P$4:P67)))*-1,2)</f>
        <v>20958.78</v>
      </c>
      <c r="U68" s="2116"/>
      <c r="V68" s="2116"/>
      <c r="W68" s="2116"/>
      <c r="X68" s="783"/>
      <c r="Y68" s="781"/>
      <c r="Z68" s="781"/>
      <c r="AA68" s="783"/>
    </row>
    <row r="69" spans="1:27">
      <c r="A69" s="2112">
        <v>18</v>
      </c>
      <c r="B69" s="2313"/>
      <c r="C69" s="2313"/>
      <c r="D69" s="2317">
        <f t="shared" si="5"/>
        <v>2018</v>
      </c>
      <c r="E69" s="2317"/>
      <c r="F69" s="2317"/>
      <c r="G69" s="2317"/>
      <c r="H69" s="2317" t="s">
        <v>311</v>
      </c>
      <c r="I69" s="2317"/>
      <c r="J69" s="2317"/>
      <c r="K69" s="2317"/>
      <c r="L69" s="2317"/>
      <c r="M69" s="2317"/>
      <c r="N69" s="2317"/>
      <c r="O69" s="2317"/>
      <c r="P69" s="2318">
        <v>24482</v>
      </c>
      <c r="Q69" s="2319"/>
      <c r="R69" s="2319"/>
      <c r="S69" s="2319"/>
      <c r="T69" s="2116">
        <f>ROUND(IPMT(($AA$3%+0.35%)/11,1,$D$219-$D$64+1,$P$220-(SUM($P$4:P68)))*-1,2)</f>
        <v>20815.22</v>
      </c>
      <c r="U69" s="2116"/>
      <c r="V69" s="2116"/>
      <c r="W69" s="2116"/>
      <c r="X69" s="783"/>
      <c r="Y69" s="781"/>
      <c r="Z69" s="781"/>
      <c r="AA69" s="783"/>
    </row>
    <row r="70" spans="1:27">
      <c r="A70" s="2112">
        <v>19</v>
      </c>
      <c r="B70" s="2313"/>
      <c r="C70" s="2313"/>
      <c r="D70" s="2317">
        <f t="shared" si="5"/>
        <v>2018</v>
      </c>
      <c r="E70" s="2317"/>
      <c r="F70" s="2317"/>
      <c r="G70" s="2317"/>
      <c r="H70" s="2317" t="s">
        <v>312</v>
      </c>
      <c r="I70" s="2317"/>
      <c r="J70" s="2317"/>
      <c r="K70" s="2317"/>
      <c r="L70" s="2317"/>
      <c r="M70" s="2317"/>
      <c r="N70" s="2317"/>
      <c r="O70" s="2317"/>
      <c r="P70" s="2318">
        <v>24482</v>
      </c>
      <c r="Q70" s="2319"/>
      <c r="R70" s="2319"/>
      <c r="S70" s="2319"/>
      <c r="T70" s="2116">
        <f>ROUND(IPMT(($AA$3%+0.35%)/11,1,$D$219-$D$64+1,$P$220-(SUM($P$4:P69)))*-1,2)</f>
        <v>20671.669999999998</v>
      </c>
      <c r="U70" s="2116"/>
      <c r="V70" s="2116"/>
      <c r="W70" s="2116"/>
      <c r="X70" s="783"/>
      <c r="Y70" s="781"/>
      <c r="Z70" s="781"/>
      <c r="AA70" s="783"/>
    </row>
    <row r="71" spans="1:27">
      <c r="A71" s="2112">
        <v>20</v>
      </c>
      <c r="B71" s="2313"/>
      <c r="C71" s="2313"/>
      <c r="D71" s="2317">
        <f t="shared" si="5"/>
        <v>2018</v>
      </c>
      <c r="E71" s="2317"/>
      <c r="F71" s="2317"/>
      <c r="G71" s="2317"/>
      <c r="H71" s="2317" t="s">
        <v>313</v>
      </c>
      <c r="I71" s="2317"/>
      <c r="J71" s="2317"/>
      <c r="K71" s="2317"/>
      <c r="L71" s="2317"/>
      <c r="M71" s="2317"/>
      <c r="N71" s="2317"/>
      <c r="O71" s="2317"/>
      <c r="P71" s="2318">
        <v>24482</v>
      </c>
      <c r="Q71" s="2319"/>
      <c r="R71" s="2319"/>
      <c r="S71" s="2319"/>
      <c r="T71" s="2116">
        <f>ROUND(IPMT(($AA$3%+0.35%)/11,1,$D$219-$D$64+1,$P$220-(SUM($P$4:P70)))*-1,2)</f>
        <v>20528.12</v>
      </c>
      <c r="U71" s="2116"/>
      <c r="V71" s="2116"/>
      <c r="W71" s="2116"/>
      <c r="X71" s="783"/>
      <c r="Y71" s="781"/>
      <c r="Z71" s="781"/>
      <c r="AA71" s="783"/>
    </row>
    <row r="72" spans="1:27">
      <c r="A72" s="2112">
        <v>21</v>
      </c>
      <c r="B72" s="2313"/>
      <c r="C72" s="2313"/>
      <c r="D72" s="2317">
        <f t="shared" si="5"/>
        <v>2018</v>
      </c>
      <c r="E72" s="2317"/>
      <c r="F72" s="2317"/>
      <c r="G72" s="2317"/>
      <c r="H72" s="2317" t="s">
        <v>314</v>
      </c>
      <c r="I72" s="2317"/>
      <c r="J72" s="2317"/>
      <c r="K72" s="2317"/>
      <c r="L72" s="2317"/>
      <c r="M72" s="2317"/>
      <c r="N72" s="2317"/>
      <c r="O72" s="2317"/>
      <c r="P72" s="2318">
        <v>24482</v>
      </c>
      <c r="Q72" s="2319"/>
      <c r="R72" s="2319"/>
      <c r="S72" s="2319"/>
      <c r="T72" s="2116">
        <f>ROUND(IPMT(($AA$3%+0.35%)/11,1,$D$219-$D$64+1,$P$220-(SUM($P$4:P71)))*-1,2)</f>
        <v>20384.560000000001</v>
      </c>
      <c r="U72" s="2116"/>
      <c r="V72" s="2116"/>
      <c r="W72" s="2116"/>
      <c r="X72" s="783"/>
      <c r="Y72" s="781"/>
      <c r="Z72" s="781"/>
      <c r="AA72" s="783"/>
    </row>
    <row r="73" spans="1:27">
      <c r="A73" s="2112">
        <v>22</v>
      </c>
      <c r="B73" s="2313"/>
      <c r="C73" s="2313"/>
      <c r="D73" s="2317">
        <f t="shared" si="5"/>
        <v>2018</v>
      </c>
      <c r="E73" s="2317"/>
      <c r="F73" s="2317"/>
      <c r="G73" s="2317"/>
      <c r="H73" s="2317" t="s">
        <v>315</v>
      </c>
      <c r="I73" s="2317"/>
      <c r="J73" s="2317"/>
      <c r="K73" s="2317"/>
      <c r="L73" s="2317"/>
      <c r="M73" s="2317"/>
      <c r="N73" s="2317"/>
      <c r="O73" s="2317"/>
      <c r="P73" s="2318">
        <v>24482</v>
      </c>
      <c r="Q73" s="2319"/>
      <c r="R73" s="2319"/>
      <c r="S73" s="2319"/>
      <c r="T73" s="2116">
        <f>ROUND(IPMT(($AA$3%+0.35%)/11,1,$D$219-$D$64+1,$P$220-(SUM($P$4:P72)))*-1,2)</f>
        <v>20241.009999999998</v>
      </c>
      <c r="U73" s="2116"/>
      <c r="V73" s="2116"/>
      <c r="W73" s="2116"/>
      <c r="X73" s="783"/>
      <c r="Y73" s="781"/>
      <c r="Z73" s="781"/>
      <c r="AA73" s="783"/>
    </row>
    <row r="74" spans="1:27">
      <c r="A74" s="2112">
        <v>23</v>
      </c>
      <c r="B74" s="2313"/>
      <c r="C74" s="2313"/>
      <c r="D74" s="2317">
        <f t="shared" si="5"/>
        <v>2018</v>
      </c>
      <c r="E74" s="2317"/>
      <c r="F74" s="2317"/>
      <c r="G74" s="2317"/>
      <c r="H74" s="2317" t="s">
        <v>316</v>
      </c>
      <c r="I74" s="2317"/>
      <c r="J74" s="2317"/>
      <c r="K74" s="2317"/>
      <c r="L74" s="2317"/>
      <c r="M74" s="2317"/>
      <c r="N74" s="2317"/>
      <c r="O74" s="2317"/>
      <c r="P74" s="2318">
        <v>24482</v>
      </c>
      <c r="Q74" s="2319"/>
      <c r="R74" s="2319"/>
      <c r="S74" s="2319"/>
      <c r="T74" s="2116">
        <f>ROUND(IPMT(($AA$3%+0.35%)/11,1,$D$219-$D$64+1,$P$220-(SUM($P$4:P73)))*-1,2)</f>
        <v>20097.46</v>
      </c>
      <c r="U74" s="2116"/>
      <c r="V74" s="2116"/>
      <c r="W74" s="2116"/>
      <c r="X74" s="783"/>
      <c r="Y74" s="781"/>
      <c r="Z74" s="781"/>
      <c r="AA74" s="783"/>
    </row>
    <row r="75" spans="1:27">
      <c r="A75" s="2112">
        <v>24</v>
      </c>
      <c r="B75" s="2313"/>
      <c r="C75" s="2313"/>
      <c r="D75" s="2317">
        <f t="shared" si="5"/>
        <v>2018</v>
      </c>
      <c r="E75" s="2317"/>
      <c r="F75" s="2317"/>
      <c r="G75" s="2317"/>
      <c r="H75" s="2317" t="s">
        <v>317</v>
      </c>
      <c r="I75" s="2317"/>
      <c r="J75" s="2317"/>
      <c r="K75" s="2317"/>
      <c r="L75" s="2317"/>
      <c r="M75" s="2317"/>
      <c r="N75" s="2317"/>
      <c r="O75" s="2317"/>
      <c r="P75" s="2318">
        <v>24482</v>
      </c>
      <c r="Q75" s="2319"/>
      <c r="R75" s="2319"/>
      <c r="S75" s="2319"/>
      <c r="T75" s="2116">
        <f>ROUND(IPMT(($AA$3%+0.35%)/11,1,$D$219-$D$64+1,$P$220-(SUM($P$4:P74)))*-1,2)</f>
        <v>19953.900000000001</v>
      </c>
      <c r="U75" s="2116"/>
      <c r="V75" s="2116"/>
      <c r="W75" s="2116"/>
      <c r="X75" s="783"/>
      <c r="Y75" s="2324">
        <f>SUM(T64:W75)</f>
        <v>248921.36</v>
      </c>
      <c r="Z75" s="2325"/>
      <c r="AA75" s="783"/>
    </row>
    <row r="76" spans="1:27">
      <c r="A76" s="2326">
        <v>13</v>
      </c>
      <c r="B76" s="2327"/>
      <c r="C76" s="2327"/>
      <c r="D76" s="2328">
        <f>D64+1</f>
        <v>2019</v>
      </c>
      <c r="E76" s="2328"/>
      <c r="F76" s="2328"/>
      <c r="G76" s="2328"/>
      <c r="H76" s="2328" t="s">
        <v>306</v>
      </c>
      <c r="I76" s="2328"/>
      <c r="J76" s="2328"/>
      <c r="K76" s="2328"/>
      <c r="L76" s="2328"/>
      <c r="M76" s="2328"/>
      <c r="N76" s="2328"/>
      <c r="O76" s="2328"/>
      <c r="P76" s="2318">
        <v>24482</v>
      </c>
      <c r="Q76" s="2319"/>
      <c r="R76" s="2319"/>
      <c r="S76" s="2319"/>
      <c r="T76" s="2331">
        <f>ROUND(IPMT(($AA$3%+0.35%)/11,1,$D$219-$D$64+1,$P$220-(SUM($P$4:P75)))*-1,2)</f>
        <v>19810.349999999999</v>
      </c>
      <c r="U76" s="2331"/>
      <c r="V76" s="2331"/>
      <c r="W76" s="2331"/>
      <c r="X76" s="783"/>
      <c r="Y76" s="781"/>
      <c r="Z76" s="781"/>
      <c r="AA76" s="783"/>
    </row>
    <row r="77" spans="1:27">
      <c r="A77" s="2112">
        <v>14</v>
      </c>
      <c r="B77" s="2313"/>
      <c r="C77" s="2313"/>
      <c r="D77" s="2317">
        <f>$D$76</f>
        <v>2019</v>
      </c>
      <c r="E77" s="2317"/>
      <c r="F77" s="2317"/>
      <c r="G77" s="2317"/>
      <c r="H77" s="2317" t="s">
        <v>307</v>
      </c>
      <c r="I77" s="2317"/>
      <c r="J77" s="2317"/>
      <c r="K77" s="2317"/>
      <c r="L77" s="2317"/>
      <c r="M77" s="2317"/>
      <c r="N77" s="2317"/>
      <c r="O77" s="2317"/>
      <c r="P77" s="2318">
        <v>24482</v>
      </c>
      <c r="Q77" s="2319"/>
      <c r="R77" s="2319"/>
      <c r="S77" s="2319"/>
      <c r="T77" s="2116">
        <f>ROUND(IPMT(($AA$3%+0.35%)/11,1,$D$219-$D$76+1,$P$220-(SUM($P$4:P76)))*-1,2)</f>
        <v>19666.79</v>
      </c>
      <c r="U77" s="2116"/>
      <c r="V77" s="2116"/>
      <c r="W77" s="2116"/>
      <c r="X77" s="783"/>
      <c r="Y77" s="781"/>
      <c r="Z77" s="781"/>
      <c r="AA77" s="783"/>
    </row>
    <row r="78" spans="1:27">
      <c r="A78" s="2112">
        <v>15</v>
      </c>
      <c r="B78" s="2313"/>
      <c r="C78" s="2313"/>
      <c r="D78" s="2317">
        <f t="shared" ref="D78:D87" si="6">$D$76</f>
        <v>2019</v>
      </c>
      <c r="E78" s="2317"/>
      <c r="F78" s="2317"/>
      <c r="G78" s="2317"/>
      <c r="H78" s="2317" t="s">
        <v>308</v>
      </c>
      <c r="I78" s="2317"/>
      <c r="J78" s="2317"/>
      <c r="K78" s="2317"/>
      <c r="L78" s="2317"/>
      <c r="M78" s="2317"/>
      <c r="N78" s="2317"/>
      <c r="O78" s="2317"/>
      <c r="P78" s="2318">
        <v>24482</v>
      </c>
      <c r="Q78" s="2319"/>
      <c r="R78" s="2319"/>
      <c r="S78" s="2319"/>
      <c r="T78" s="2116">
        <f>ROUND(IPMT(($AA$3%+0.35%)/11,1,$D$219-$D$76+1,$P$220-(SUM($P$4:P77)))*-1,2)</f>
        <v>19523.240000000002</v>
      </c>
      <c r="U78" s="2116"/>
      <c r="V78" s="2116"/>
      <c r="W78" s="2116"/>
      <c r="X78" s="783"/>
      <c r="Y78" s="781"/>
      <c r="Z78" s="781"/>
      <c r="AA78" s="783"/>
    </row>
    <row r="79" spans="1:27">
      <c r="A79" s="2112">
        <v>16</v>
      </c>
      <c r="B79" s="2313"/>
      <c r="C79" s="2313"/>
      <c r="D79" s="2317">
        <f t="shared" si="6"/>
        <v>2019</v>
      </c>
      <c r="E79" s="2317"/>
      <c r="F79" s="2317"/>
      <c r="G79" s="2317"/>
      <c r="H79" s="2317" t="s">
        <v>309</v>
      </c>
      <c r="I79" s="2317"/>
      <c r="J79" s="2317"/>
      <c r="K79" s="2317"/>
      <c r="L79" s="2317"/>
      <c r="M79" s="2317"/>
      <c r="N79" s="2317"/>
      <c r="O79" s="2317"/>
      <c r="P79" s="2318">
        <v>24482</v>
      </c>
      <c r="Q79" s="2319"/>
      <c r="R79" s="2319"/>
      <c r="S79" s="2319"/>
      <c r="T79" s="2116">
        <f>ROUND(IPMT(($AA$3%+0.35%)/11,1,$D$219-$D$76+1,$P$220-(SUM($P$4:P78)))*-1,2)</f>
        <v>19379.689999999999</v>
      </c>
      <c r="U79" s="2116"/>
      <c r="V79" s="2116"/>
      <c r="W79" s="2116"/>
      <c r="X79" s="783"/>
      <c r="Y79" s="781"/>
      <c r="Z79" s="781"/>
      <c r="AA79" s="783"/>
    </row>
    <row r="80" spans="1:27">
      <c r="A80" s="2112">
        <v>17</v>
      </c>
      <c r="B80" s="2313"/>
      <c r="C80" s="2313"/>
      <c r="D80" s="2317">
        <f t="shared" si="6"/>
        <v>2019</v>
      </c>
      <c r="E80" s="2317"/>
      <c r="F80" s="2317"/>
      <c r="G80" s="2317"/>
      <c r="H80" s="2317" t="s">
        <v>310</v>
      </c>
      <c r="I80" s="2317"/>
      <c r="J80" s="2317"/>
      <c r="K80" s="2317"/>
      <c r="L80" s="2317"/>
      <c r="M80" s="2317"/>
      <c r="N80" s="2317"/>
      <c r="O80" s="2317"/>
      <c r="P80" s="2318">
        <v>24482</v>
      </c>
      <c r="Q80" s="2319"/>
      <c r="R80" s="2319"/>
      <c r="S80" s="2319"/>
      <c r="T80" s="2116">
        <f>ROUND(IPMT(($AA$3%+0.35%)/11,1,$D$219-$D$76+1,$P$220-(SUM($P$4:P79)))*-1,2)</f>
        <v>19236.13</v>
      </c>
      <c r="U80" s="2116"/>
      <c r="V80" s="2116"/>
      <c r="W80" s="2116"/>
      <c r="X80" s="783"/>
      <c r="Y80" s="781"/>
      <c r="Z80" s="781"/>
      <c r="AA80" s="783"/>
    </row>
    <row r="81" spans="1:27">
      <c r="A81" s="2112">
        <v>18</v>
      </c>
      <c r="B81" s="2313"/>
      <c r="C81" s="2313"/>
      <c r="D81" s="2317">
        <f t="shared" si="6"/>
        <v>2019</v>
      </c>
      <c r="E81" s="2317"/>
      <c r="F81" s="2317"/>
      <c r="G81" s="2317"/>
      <c r="H81" s="2317" t="s">
        <v>311</v>
      </c>
      <c r="I81" s="2317"/>
      <c r="J81" s="2317"/>
      <c r="K81" s="2317"/>
      <c r="L81" s="2317"/>
      <c r="M81" s="2317"/>
      <c r="N81" s="2317"/>
      <c r="O81" s="2317"/>
      <c r="P81" s="2318">
        <v>24482</v>
      </c>
      <c r="Q81" s="2319"/>
      <c r="R81" s="2319"/>
      <c r="S81" s="2319"/>
      <c r="T81" s="2116">
        <f>ROUND(IPMT(($AA$3%+0.35%)/11,1,$D$219-$D$76+1,$P$220-(SUM($P$4:P80)))*-1,2)</f>
        <v>19092.580000000002</v>
      </c>
      <c r="U81" s="2116"/>
      <c r="V81" s="2116"/>
      <c r="W81" s="2116"/>
      <c r="X81" s="783"/>
      <c r="Y81" s="781"/>
      <c r="Z81" s="781"/>
      <c r="AA81" s="783"/>
    </row>
    <row r="82" spans="1:27">
      <c r="A82" s="2112">
        <v>19</v>
      </c>
      <c r="B82" s="2313"/>
      <c r="C82" s="2313"/>
      <c r="D82" s="2317">
        <f t="shared" si="6"/>
        <v>2019</v>
      </c>
      <c r="E82" s="2317"/>
      <c r="F82" s="2317"/>
      <c r="G82" s="2317"/>
      <c r="H82" s="2317" t="s">
        <v>312</v>
      </c>
      <c r="I82" s="2317"/>
      <c r="J82" s="2317"/>
      <c r="K82" s="2317"/>
      <c r="L82" s="2317"/>
      <c r="M82" s="2317"/>
      <c r="N82" s="2317"/>
      <c r="O82" s="2317"/>
      <c r="P82" s="2318">
        <v>24482</v>
      </c>
      <c r="Q82" s="2319"/>
      <c r="R82" s="2319"/>
      <c r="S82" s="2319"/>
      <c r="T82" s="2116">
        <f>ROUND(IPMT(($AA$3%+0.35%)/11,1,$D$219-$D$76+1,$P$220-(SUM($P$4:P81)))*-1,2)</f>
        <v>18949.03</v>
      </c>
      <c r="U82" s="2116"/>
      <c r="V82" s="2116"/>
      <c r="W82" s="2116"/>
      <c r="X82" s="783"/>
      <c r="Y82" s="781"/>
      <c r="Z82" s="781"/>
      <c r="AA82" s="783"/>
    </row>
    <row r="83" spans="1:27">
      <c r="A83" s="2112">
        <v>20</v>
      </c>
      <c r="B83" s="2313"/>
      <c r="C83" s="2313"/>
      <c r="D83" s="2317">
        <f t="shared" si="6"/>
        <v>2019</v>
      </c>
      <c r="E83" s="2317"/>
      <c r="F83" s="2317"/>
      <c r="G83" s="2317"/>
      <c r="H83" s="2317" t="s">
        <v>313</v>
      </c>
      <c r="I83" s="2317"/>
      <c r="J83" s="2317"/>
      <c r="K83" s="2317"/>
      <c r="L83" s="2317"/>
      <c r="M83" s="2317"/>
      <c r="N83" s="2317"/>
      <c r="O83" s="2317"/>
      <c r="P83" s="2318">
        <v>24482</v>
      </c>
      <c r="Q83" s="2319"/>
      <c r="R83" s="2319"/>
      <c r="S83" s="2319"/>
      <c r="T83" s="2116">
        <f>ROUND(IPMT(($AA$3%+0.35%)/11,1,$D$219-$D$76+1,$P$220-(SUM($P$4:P82)))*-1,2)</f>
        <v>18805.47</v>
      </c>
      <c r="U83" s="2116"/>
      <c r="V83" s="2116"/>
      <c r="W83" s="2116"/>
      <c r="X83" s="783"/>
      <c r="Y83" s="781"/>
      <c r="Z83" s="781"/>
      <c r="AA83" s="783"/>
    </row>
    <row r="84" spans="1:27">
      <c r="A84" s="2112">
        <v>21</v>
      </c>
      <c r="B84" s="2313"/>
      <c r="C84" s="2313"/>
      <c r="D84" s="2317">
        <f t="shared" si="6"/>
        <v>2019</v>
      </c>
      <c r="E84" s="2317"/>
      <c r="F84" s="2317"/>
      <c r="G84" s="2317"/>
      <c r="H84" s="2317" t="s">
        <v>314</v>
      </c>
      <c r="I84" s="2317"/>
      <c r="J84" s="2317"/>
      <c r="K84" s="2317"/>
      <c r="L84" s="2317"/>
      <c r="M84" s="2317"/>
      <c r="N84" s="2317"/>
      <c r="O84" s="2317"/>
      <c r="P84" s="2318">
        <v>24482</v>
      </c>
      <c r="Q84" s="2319"/>
      <c r="R84" s="2319"/>
      <c r="S84" s="2319"/>
      <c r="T84" s="2116">
        <f>ROUND(IPMT(($AA$3%+0.35%)/11,1,$D$219-$D$76+1,$P$220-(SUM($P$4:P83)))*-1,2)</f>
        <v>18661.919999999998</v>
      </c>
      <c r="U84" s="2116"/>
      <c r="V84" s="2116"/>
      <c r="W84" s="2116"/>
      <c r="X84" s="783"/>
      <c r="Y84" s="781"/>
      <c r="Z84" s="781"/>
      <c r="AA84" s="783"/>
    </row>
    <row r="85" spans="1:27">
      <c r="A85" s="2112">
        <v>22</v>
      </c>
      <c r="B85" s="2313"/>
      <c r="C85" s="2313"/>
      <c r="D85" s="2317">
        <f t="shared" si="6"/>
        <v>2019</v>
      </c>
      <c r="E85" s="2317"/>
      <c r="F85" s="2317"/>
      <c r="G85" s="2317"/>
      <c r="H85" s="2317" t="s">
        <v>315</v>
      </c>
      <c r="I85" s="2317"/>
      <c r="J85" s="2317"/>
      <c r="K85" s="2317"/>
      <c r="L85" s="2317"/>
      <c r="M85" s="2317"/>
      <c r="N85" s="2317"/>
      <c r="O85" s="2317"/>
      <c r="P85" s="2318">
        <v>24482</v>
      </c>
      <c r="Q85" s="2319"/>
      <c r="R85" s="2319"/>
      <c r="S85" s="2319"/>
      <c r="T85" s="2116">
        <f>ROUND(IPMT(($AA$3%+0.35%)/11,1,$D$219-$D$76+1,$P$220-(SUM($P$4:P84)))*-1,2)</f>
        <v>18518.37</v>
      </c>
      <c r="U85" s="2116"/>
      <c r="V85" s="2116"/>
      <c r="W85" s="2116"/>
      <c r="X85" s="783"/>
      <c r="Y85" s="781"/>
      <c r="Z85" s="781"/>
      <c r="AA85" s="783"/>
    </row>
    <row r="86" spans="1:27">
      <c r="A86" s="2112">
        <v>23</v>
      </c>
      <c r="B86" s="2313"/>
      <c r="C86" s="2313"/>
      <c r="D86" s="2317">
        <f t="shared" si="6"/>
        <v>2019</v>
      </c>
      <c r="E86" s="2317"/>
      <c r="F86" s="2317"/>
      <c r="G86" s="2317"/>
      <c r="H86" s="2317" t="s">
        <v>316</v>
      </c>
      <c r="I86" s="2317"/>
      <c r="J86" s="2317"/>
      <c r="K86" s="2317"/>
      <c r="L86" s="2317"/>
      <c r="M86" s="2317"/>
      <c r="N86" s="2317"/>
      <c r="O86" s="2317"/>
      <c r="P86" s="2318">
        <v>24482</v>
      </c>
      <c r="Q86" s="2319"/>
      <c r="R86" s="2319"/>
      <c r="S86" s="2319"/>
      <c r="T86" s="2116">
        <f>ROUND(IPMT(($AA$3%+0.35%)/11,1,$D$219-$D$76+1,$P$220-(SUM($P$4:P85)))*-1,2)</f>
        <v>18374.810000000001</v>
      </c>
      <c r="U86" s="2116"/>
      <c r="V86" s="2116"/>
      <c r="W86" s="2116"/>
      <c r="X86" s="783"/>
      <c r="Y86" s="781"/>
      <c r="Z86" s="781"/>
      <c r="AA86" s="783"/>
    </row>
    <row r="87" spans="1:27">
      <c r="A87" s="2112">
        <v>24</v>
      </c>
      <c r="B87" s="2313"/>
      <c r="C87" s="2313"/>
      <c r="D87" s="2317">
        <f t="shared" si="6"/>
        <v>2019</v>
      </c>
      <c r="E87" s="2317"/>
      <c r="F87" s="2317"/>
      <c r="G87" s="2317"/>
      <c r="H87" s="2317" t="s">
        <v>317</v>
      </c>
      <c r="I87" s="2317"/>
      <c r="J87" s="2317"/>
      <c r="K87" s="2317"/>
      <c r="L87" s="2317"/>
      <c r="M87" s="2317"/>
      <c r="N87" s="2317"/>
      <c r="O87" s="2317"/>
      <c r="P87" s="2318">
        <v>24482</v>
      </c>
      <c r="Q87" s="2319"/>
      <c r="R87" s="2319"/>
      <c r="S87" s="2319"/>
      <c r="T87" s="2116">
        <f>ROUND(IPMT(($AA$3%+0.35%)/11,1,$D$219-$D$76+1,$P$220-(SUM($P$4:P86)))*-1,2)</f>
        <v>18231.259999999998</v>
      </c>
      <c r="U87" s="2116"/>
      <c r="V87" s="2116"/>
      <c r="W87" s="2116"/>
      <c r="X87" s="783"/>
      <c r="Y87" s="2324">
        <f>SUM(T76:W87)</f>
        <v>228249.64</v>
      </c>
      <c r="Z87" s="2325"/>
      <c r="AA87" s="783"/>
    </row>
    <row r="88" spans="1:27">
      <c r="A88" s="2326">
        <v>13</v>
      </c>
      <c r="B88" s="2327"/>
      <c r="C88" s="2327"/>
      <c r="D88" s="2328">
        <f>D76+1</f>
        <v>2020</v>
      </c>
      <c r="E88" s="2328"/>
      <c r="F88" s="2328"/>
      <c r="G88" s="2328"/>
      <c r="H88" s="2328" t="s">
        <v>306</v>
      </c>
      <c r="I88" s="2328"/>
      <c r="J88" s="2328"/>
      <c r="K88" s="2328"/>
      <c r="L88" s="2328"/>
      <c r="M88" s="2328"/>
      <c r="N88" s="2328"/>
      <c r="O88" s="2328"/>
      <c r="P88" s="2318">
        <v>24482</v>
      </c>
      <c r="Q88" s="2319"/>
      <c r="R88" s="2319"/>
      <c r="S88" s="2319"/>
      <c r="T88" s="2331">
        <f>ROUND(IPMT(($AA$3%+0.35%)/11,1,$D$219-$D$76+1,$P$220-(SUM($P$4:P87)))*-1,2)</f>
        <v>18087.71</v>
      </c>
      <c r="U88" s="2331"/>
      <c r="V88" s="2331"/>
      <c r="W88" s="2331"/>
      <c r="X88" s="783"/>
      <c r="Y88" s="781"/>
      <c r="Z88" s="781"/>
      <c r="AA88" s="783"/>
    </row>
    <row r="89" spans="1:27">
      <c r="A89" s="2112">
        <v>14</v>
      </c>
      <c r="B89" s="2313"/>
      <c r="C89" s="2313"/>
      <c r="D89" s="2317">
        <f>$D$88</f>
        <v>2020</v>
      </c>
      <c r="E89" s="2317"/>
      <c r="F89" s="2317"/>
      <c r="G89" s="2317"/>
      <c r="H89" s="2317" t="s">
        <v>307</v>
      </c>
      <c r="I89" s="2317"/>
      <c r="J89" s="2317"/>
      <c r="K89" s="2317"/>
      <c r="L89" s="2317"/>
      <c r="M89" s="2317"/>
      <c r="N89" s="2317"/>
      <c r="O89" s="2317"/>
      <c r="P89" s="2318">
        <v>24482</v>
      </c>
      <c r="Q89" s="2319"/>
      <c r="R89" s="2319"/>
      <c r="S89" s="2319"/>
      <c r="T89" s="2116">
        <f>ROUND(IPMT(($AA$3%+0.35%)/11,1,$D$219-$D$88+1,$P$220-(SUM($P$4:P88)))*-1,2)</f>
        <v>17944.150000000001</v>
      </c>
      <c r="U89" s="2116"/>
      <c r="V89" s="2116"/>
      <c r="W89" s="2116"/>
      <c r="X89" s="783"/>
      <c r="Y89" s="781"/>
      <c r="Z89" s="781"/>
      <c r="AA89" s="783"/>
    </row>
    <row r="90" spans="1:27">
      <c r="A90" s="2112">
        <v>15</v>
      </c>
      <c r="B90" s="2313"/>
      <c r="C90" s="2313"/>
      <c r="D90" s="2317">
        <f t="shared" ref="D90:D99" si="7">$D$88</f>
        <v>2020</v>
      </c>
      <c r="E90" s="2317"/>
      <c r="F90" s="2317"/>
      <c r="G90" s="2317"/>
      <c r="H90" s="2317" t="s">
        <v>308</v>
      </c>
      <c r="I90" s="2317"/>
      <c r="J90" s="2317"/>
      <c r="K90" s="2317"/>
      <c r="L90" s="2317"/>
      <c r="M90" s="2317"/>
      <c r="N90" s="2317"/>
      <c r="O90" s="2317"/>
      <c r="P90" s="2318">
        <v>24482</v>
      </c>
      <c r="Q90" s="2319"/>
      <c r="R90" s="2319"/>
      <c r="S90" s="2319"/>
      <c r="T90" s="2116">
        <f>ROUND(IPMT(($AA$3%+0.35%)/11,1,$D$219-$D$88+1,$P$220-(SUM($P$4:P89)))*-1,2)</f>
        <v>17800.599999999999</v>
      </c>
      <c r="U90" s="2116"/>
      <c r="V90" s="2116"/>
      <c r="W90" s="2116"/>
      <c r="X90" s="783"/>
      <c r="Y90" s="781"/>
      <c r="Z90" s="781"/>
      <c r="AA90" s="783"/>
    </row>
    <row r="91" spans="1:27">
      <c r="A91" s="2112">
        <v>16</v>
      </c>
      <c r="B91" s="2313"/>
      <c r="C91" s="2313"/>
      <c r="D91" s="2317">
        <f t="shared" si="7"/>
        <v>2020</v>
      </c>
      <c r="E91" s="2317"/>
      <c r="F91" s="2317"/>
      <c r="G91" s="2317"/>
      <c r="H91" s="2317" t="s">
        <v>309</v>
      </c>
      <c r="I91" s="2317"/>
      <c r="J91" s="2317"/>
      <c r="K91" s="2317"/>
      <c r="L91" s="2317"/>
      <c r="M91" s="2317"/>
      <c r="N91" s="2317"/>
      <c r="O91" s="2317"/>
      <c r="P91" s="2318">
        <v>24482</v>
      </c>
      <c r="Q91" s="2319"/>
      <c r="R91" s="2319"/>
      <c r="S91" s="2319"/>
      <c r="T91" s="2116">
        <f>ROUND(IPMT(($AA$3%+0.35%)/11,1,$D$219-$D$88+1,$P$220-(SUM($P$4:P90)))*-1,2)</f>
        <v>17657.05</v>
      </c>
      <c r="U91" s="2116"/>
      <c r="V91" s="2116"/>
      <c r="W91" s="2116"/>
      <c r="X91" s="783"/>
      <c r="Y91" s="781"/>
      <c r="Z91" s="781"/>
      <c r="AA91" s="783"/>
    </row>
    <row r="92" spans="1:27">
      <c r="A92" s="2112">
        <v>17</v>
      </c>
      <c r="B92" s="2313"/>
      <c r="C92" s="2313"/>
      <c r="D92" s="2317">
        <f t="shared" si="7"/>
        <v>2020</v>
      </c>
      <c r="E92" s="2317"/>
      <c r="F92" s="2317"/>
      <c r="G92" s="2317"/>
      <c r="H92" s="2317" t="s">
        <v>310</v>
      </c>
      <c r="I92" s="2317"/>
      <c r="J92" s="2317"/>
      <c r="K92" s="2317"/>
      <c r="L92" s="2317"/>
      <c r="M92" s="2317"/>
      <c r="N92" s="2317"/>
      <c r="O92" s="2317"/>
      <c r="P92" s="2318">
        <v>24482</v>
      </c>
      <c r="Q92" s="2319"/>
      <c r="R92" s="2319"/>
      <c r="S92" s="2319"/>
      <c r="T92" s="2116">
        <f>ROUND(IPMT(($AA$3%+0.35%)/11,1,$D$219-$D$88+1,$P$220-(SUM($P$4:P91)))*-1,2)</f>
        <v>17513.490000000002</v>
      </c>
      <c r="U92" s="2116"/>
      <c r="V92" s="2116"/>
      <c r="W92" s="2116"/>
      <c r="X92" s="783"/>
      <c r="Y92" s="781"/>
      <c r="Z92" s="781"/>
      <c r="AA92" s="783"/>
    </row>
    <row r="93" spans="1:27">
      <c r="A93" s="2112">
        <v>18</v>
      </c>
      <c r="B93" s="2313"/>
      <c r="C93" s="2313"/>
      <c r="D93" s="2317">
        <f t="shared" si="7"/>
        <v>2020</v>
      </c>
      <c r="E93" s="2317"/>
      <c r="F93" s="2317"/>
      <c r="G93" s="2317"/>
      <c r="H93" s="2317" t="s">
        <v>311</v>
      </c>
      <c r="I93" s="2317"/>
      <c r="J93" s="2317"/>
      <c r="K93" s="2317"/>
      <c r="L93" s="2317"/>
      <c r="M93" s="2317"/>
      <c r="N93" s="2317"/>
      <c r="O93" s="2317"/>
      <c r="P93" s="2318">
        <v>24482</v>
      </c>
      <c r="Q93" s="2319"/>
      <c r="R93" s="2319"/>
      <c r="S93" s="2319"/>
      <c r="T93" s="2116">
        <f>ROUND(IPMT(($AA$3%+0.35%)/11,1,$D$219-$D$88+1,$P$220-(SUM($P$4:P92)))*-1,2)</f>
        <v>17369.939999999999</v>
      </c>
      <c r="U93" s="2116"/>
      <c r="V93" s="2116"/>
      <c r="W93" s="2116"/>
      <c r="X93" s="783"/>
      <c r="Y93" s="781"/>
      <c r="Z93" s="781"/>
      <c r="AA93" s="783"/>
    </row>
    <row r="94" spans="1:27">
      <c r="A94" s="2112">
        <v>19</v>
      </c>
      <c r="B94" s="2313"/>
      <c r="C94" s="2313"/>
      <c r="D94" s="2317">
        <f t="shared" si="7"/>
        <v>2020</v>
      </c>
      <c r="E94" s="2317"/>
      <c r="F94" s="2317"/>
      <c r="G94" s="2317"/>
      <c r="H94" s="2317" t="s">
        <v>312</v>
      </c>
      <c r="I94" s="2317"/>
      <c r="J94" s="2317"/>
      <c r="K94" s="2317"/>
      <c r="L94" s="2317"/>
      <c r="M94" s="2317"/>
      <c r="N94" s="2317"/>
      <c r="O94" s="2317"/>
      <c r="P94" s="2318">
        <v>24482</v>
      </c>
      <c r="Q94" s="2319"/>
      <c r="R94" s="2319"/>
      <c r="S94" s="2319"/>
      <c r="T94" s="2116">
        <f>ROUND(IPMT(($AA$3%+0.35%)/11,1,$D$219-$D$88+1,$P$220-(SUM($P$4:P93)))*-1,2)</f>
        <v>17226.38</v>
      </c>
      <c r="U94" s="2116"/>
      <c r="V94" s="2116"/>
      <c r="W94" s="2116"/>
      <c r="X94" s="783"/>
      <c r="Y94" s="781"/>
      <c r="Z94" s="781"/>
      <c r="AA94" s="783"/>
    </row>
    <row r="95" spans="1:27">
      <c r="A95" s="2112">
        <v>20</v>
      </c>
      <c r="B95" s="2313"/>
      <c r="C95" s="2313"/>
      <c r="D95" s="2317">
        <f t="shared" si="7"/>
        <v>2020</v>
      </c>
      <c r="E95" s="2317"/>
      <c r="F95" s="2317"/>
      <c r="G95" s="2317"/>
      <c r="H95" s="2317" t="s">
        <v>313</v>
      </c>
      <c r="I95" s="2317"/>
      <c r="J95" s="2317"/>
      <c r="K95" s="2317"/>
      <c r="L95" s="2317"/>
      <c r="M95" s="2317"/>
      <c r="N95" s="2317"/>
      <c r="O95" s="2317"/>
      <c r="P95" s="2318">
        <v>24482</v>
      </c>
      <c r="Q95" s="2319"/>
      <c r="R95" s="2319"/>
      <c r="S95" s="2319"/>
      <c r="T95" s="2116">
        <f>ROUND(IPMT(($AA$3%+0.35%)/11,1,$D$219-$D$88+1,$P$220-(SUM($P$4:P94)))*-1,2)</f>
        <v>17082.830000000002</v>
      </c>
      <c r="U95" s="2116"/>
      <c r="V95" s="2116"/>
      <c r="W95" s="2116"/>
      <c r="X95" s="783"/>
      <c r="Y95" s="781"/>
      <c r="Z95" s="781"/>
      <c r="AA95" s="783"/>
    </row>
    <row r="96" spans="1:27">
      <c r="A96" s="2112">
        <v>21</v>
      </c>
      <c r="B96" s="2313"/>
      <c r="C96" s="2313"/>
      <c r="D96" s="2317">
        <f t="shared" si="7"/>
        <v>2020</v>
      </c>
      <c r="E96" s="2317"/>
      <c r="F96" s="2317"/>
      <c r="G96" s="2317"/>
      <c r="H96" s="2317" t="s">
        <v>314</v>
      </c>
      <c r="I96" s="2317"/>
      <c r="J96" s="2317"/>
      <c r="K96" s="2317"/>
      <c r="L96" s="2317"/>
      <c r="M96" s="2317"/>
      <c r="N96" s="2317"/>
      <c r="O96" s="2317"/>
      <c r="P96" s="2318">
        <v>24482</v>
      </c>
      <c r="Q96" s="2319"/>
      <c r="R96" s="2319"/>
      <c r="S96" s="2319"/>
      <c r="T96" s="2116">
        <f>ROUND(IPMT(($AA$3%+0.35%)/11,1,$D$219-$D$88+1,$P$220-(SUM($P$4:P95)))*-1,2)</f>
        <v>16939.28</v>
      </c>
      <c r="U96" s="2116"/>
      <c r="V96" s="2116"/>
      <c r="W96" s="2116"/>
      <c r="X96" s="783"/>
      <c r="Y96" s="781"/>
      <c r="Z96" s="781"/>
      <c r="AA96" s="783"/>
    </row>
    <row r="97" spans="1:27">
      <c r="A97" s="2112">
        <v>22</v>
      </c>
      <c r="B97" s="2313"/>
      <c r="C97" s="2313"/>
      <c r="D97" s="2317">
        <f t="shared" si="7"/>
        <v>2020</v>
      </c>
      <c r="E97" s="2317"/>
      <c r="F97" s="2317"/>
      <c r="G97" s="2317"/>
      <c r="H97" s="2317" t="s">
        <v>315</v>
      </c>
      <c r="I97" s="2317"/>
      <c r="J97" s="2317"/>
      <c r="K97" s="2317"/>
      <c r="L97" s="2317"/>
      <c r="M97" s="2317"/>
      <c r="N97" s="2317"/>
      <c r="O97" s="2317"/>
      <c r="P97" s="2318">
        <v>24482</v>
      </c>
      <c r="Q97" s="2319"/>
      <c r="R97" s="2319"/>
      <c r="S97" s="2319"/>
      <c r="T97" s="2116">
        <f>ROUND(IPMT(($AA$3%+0.35%)/11,1,$D$219-$D$88+1,$P$220-(SUM($P$4:P96)))*-1,2)</f>
        <v>16795.72</v>
      </c>
      <c r="U97" s="2116"/>
      <c r="V97" s="2116"/>
      <c r="W97" s="2116"/>
      <c r="X97" s="783"/>
      <c r="Y97" s="781"/>
      <c r="Z97" s="781"/>
      <c r="AA97" s="783"/>
    </row>
    <row r="98" spans="1:27">
      <c r="A98" s="2112">
        <v>23</v>
      </c>
      <c r="B98" s="2313"/>
      <c r="C98" s="2313"/>
      <c r="D98" s="2317">
        <f t="shared" si="7"/>
        <v>2020</v>
      </c>
      <c r="E98" s="2317"/>
      <c r="F98" s="2317"/>
      <c r="G98" s="2317"/>
      <c r="H98" s="2317" t="s">
        <v>316</v>
      </c>
      <c r="I98" s="2317"/>
      <c r="J98" s="2317"/>
      <c r="K98" s="2317"/>
      <c r="L98" s="2317"/>
      <c r="M98" s="2317"/>
      <c r="N98" s="2317"/>
      <c r="O98" s="2317"/>
      <c r="P98" s="2318">
        <v>24482</v>
      </c>
      <c r="Q98" s="2319"/>
      <c r="R98" s="2319"/>
      <c r="S98" s="2319"/>
      <c r="T98" s="2116">
        <f>ROUND(IPMT(($AA$3%+0.35%)/11,1,$D$219-$D$88+1,$P$220-(SUM($P$4:P97)))*-1,2)</f>
        <v>16652.169999999998</v>
      </c>
      <c r="U98" s="2116"/>
      <c r="V98" s="2116"/>
      <c r="W98" s="2116"/>
      <c r="X98" s="783"/>
      <c r="Y98" s="781"/>
      <c r="Z98" s="781"/>
      <c r="AA98" s="783"/>
    </row>
    <row r="99" spans="1:27">
      <c r="A99" s="2112">
        <v>24</v>
      </c>
      <c r="B99" s="2313"/>
      <c r="C99" s="2313"/>
      <c r="D99" s="2317">
        <f t="shared" si="7"/>
        <v>2020</v>
      </c>
      <c r="E99" s="2317"/>
      <c r="F99" s="2317"/>
      <c r="G99" s="2317"/>
      <c r="H99" s="2317" t="s">
        <v>317</v>
      </c>
      <c r="I99" s="2317"/>
      <c r="J99" s="2317"/>
      <c r="K99" s="2317"/>
      <c r="L99" s="2317"/>
      <c r="M99" s="2317"/>
      <c r="N99" s="2317"/>
      <c r="O99" s="2317"/>
      <c r="P99" s="2318">
        <v>24482</v>
      </c>
      <c r="Q99" s="2319"/>
      <c r="R99" s="2319"/>
      <c r="S99" s="2319"/>
      <c r="T99" s="2116">
        <f>ROUND(IPMT(($AA$3%+0.35%)/11,1,$D$219-$D$88+1,$P$220-(SUM($P$4:P98)))*-1,2)</f>
        <v>16508.62</v>
      </c>
      <c r="U99" s="2116"/>
      <c r="V99" s="2116"/>
      <c r="W99" s="2116"/>
      <c r="X99" s="783"/>
      <c r="Y99" s="2324">
        <f>SUM(T88:W99)</f>
        <v>207577.94</v>
      </c>
      <c r="Z99" s="2325"/>
      <c r="AA99" s="783"/>
    </row>
    <row r="100" spans="1:27">
      <c r="A100" s="2326">
        <v>25</v>
      </c>
      <c r="B100" s="2327"/>
      <c r="C100" s="2327"/>
      <c r="D100" s="2328">
        <f>D88+1</f>
        <v>2021</v>
      </c>
      <c r="E100" s="2328"/>
      <c r="F100" s="2328"/>
      <c r="G100" s="2328"/>
      <c r="H100" s="2328" t="s">
        <v>306</v>
      </c>
      <c r="I100" s="2328"/>
      <c r="J100" s="2328"/>
      <c r="K100" s="2328"/>
      <c r="L100" s="2328"/>
      <c r="M100" s="2328"/>
      <c r="N100" s="2328"/>
      <c r="O100" s="2328"/>
      <c r="P100" s="2318">
        <v>24482</v>
      </c>
      <c r="Q100" s="2319"/>
      <c r="R100" s="2319"/>
      <c r="S100" s="2319"/>
      <c r="T100" s="2331">
        <f>ROUND(IPMT(($AA$3%+0.35%)/11,1,$D$219-$D$88+1,$P$220-(SUM($P$4:P99)))*-1,2)</f>
        <v>16365.06</v>
      </c>
      <c r="U100" s="2331"/>
      <c r="V100" s="2331"/>
      <c r="W100" s="2331"/>
      <c r="X100" s="783"/>
      <c r="Y100" s="782"/>
      <c r="Z100" s="781"/>
      <c r="AA100" s="783"/>
    </row>
    <row r="101" spans="1:27">
      <c r="A101" s="2112">
        <v>26</v>
      </c>
      <c r="B101" s="2313"/>
      <c r="C101" s="2313"/>
      <c r="D101" s="2317">
        <f t="shared" ref="D101:D111" si="8">D89+1</f>
        <v>2021</v>
      </c>
      <c r="E101" s="2317"/>
      <c r="F101" s="2317"/>
      <c r="G101" s="2317"/>
      <c r="H101" s="2317" t="s">
        <v>307</v>
      </c>
      <c r="I101" s="2317"/>
      <c r="J101" s="2317"/>
      <c r="K101" s="2317"/>
      <c r="L101" s="2317"/>
      <c r="M101" s="2317"/>
      <c r="N101" s="2317"/>
      <c r="O101" s="2317"/>
      <c r="P101" s="2318">
        <v>24482</v>
      </c>
      <c r="Q101" s="2319"/>
      <c r="R101" s="2319"/>
      <c r="S101" s="2319"/>
      <c r="T101" s="2116">
        <f>ROUND(IPMT(($AA$3%+0.35%)/11,1,$D$219-$D$208+1,$P$220-(SUM($P$4:P100)))*-1,2)</f>
        <v>16221.51</v>
      </c>
      <c r="U101" s="2116"/>
      <c r="V101" s="2116"/>
      <c r="W101" s="2116"/>
      <c r="X101" s="783"/>
      <c r="Y101" s="782"/>
      <c r="Z101" s="781"/>
      <c r="AA101" s="783"/>
    </row>
    <row r="102" spans="1:27">
      <c r="A102" s="2112">
        <v>27</v>
      </c>
      <c r="B102" s="2313"/>
      <c r="C102" s="2313"/>
      <c r="D102" s="2317">
        <f t="shared" si="8"/>
        <v>2021</v>
      </c>
      <c r="E102" s="2317"/>
      <c r="F102" s="2317"/>
      <c r="G102" s="2317"/>
      <c r="H102" s="2317" t="s">
        <v>308</v>
      </c>
      <c r="I102" s="2317"/>
      <c r="J102" s="2317"/>
      <c r="K102" s="2317"/>
      <c r="L102" s="2317"/>
      <c r="M102" s="2317"/>
      <c r="N102" s="2317"/>
      <c r="O102" s="2317"/>
      <c r="P102" s="2318">
        <v>24482</v>
      </c>
      <c r="Q102" s="2319"/>
      <c r="R102" s="2319"/>
      <c r="S102" s="2319"/>
      <c r="T102" s="2116">
        <f>ROUND(IPMT(($AA$3%+0.35%)/11,1,$D$219-$D$208+1,$P$220-(SUM($P$4:P101)))*-1,2)</f>
        <v>16077.96</v>
      </c>
      <c r="U102" s="2116"/>
      <c r="V102" s="2116"/>
      <c r="W102" s="2116"/>
      <c r="X102" s="783"/>
      <c r="Y102" s="782"/>
      <c r="Z102" s="781"/>
      <c r="AA102" s="783"/>
    </row>
    <row r="103" spans="1:27">
      <c r="A103" s="2112">
        <v>28</v>
      </c>
      <c r="B103" s="2313"/>
      <c r="C103" s="2313"/>
      <c r="D103" s="2317">
        <f t="shared" si="8"/>
        <v>2021</v>
      </c>
      <c r="E103" s="2317"/>
      <c r="F103" s="2317"/>
      <c r="G103" s="2317"/>
      <c r="H103" s="2317" t="s">
        <v>309</v>
      </c>
      <c r="I103" s="2317"/>
      <c r="J103" s="2317"/>
      <c r="K103" s="2317"/>
      <c r="L103" s="2317"/>
      <c r="M103" s="2317"/>
      <c r="N103" s="2317"/>
      <c r="O103" s="2317"/>
      <c r="P103" s="2318">
        <v>24482</v>
      </c>
      <c r="Q103" s="2319"/>
      <c r="R103" s="2319"/>
      <c r="S103" s="2319"/>
      <c r="T103" s="2116">
        <f>ROUND(IPMT(($AA$3%+0.35%)/11,1,$D$219-$D$208+1,$P$220-(SUM($P$4:P102)))*-1,2)</f>
        <v>15934.4</v>
      </c>
      <c r="U103" s="2116"/>
      <c r="V103" s="2116"/>
      <c r="W103" s="2116"/>
      <c r="X103" s="783"/>
      <c r="Y103" s="782"/>
      <c r="Z103" s="781"/>
      <c r="AA103" s="783"/>
    </row>
    <row r="104" spans="1:27">
      <c r="A104" s="2112">
        <v>29</v>
      </c>
      <c r="B104" s="2313"/>
      <c r="C104" s="2313"/>
      <c r="D104" s="2317">
        <f t="shared" si="8"/>
        <v>2021</v>
      </c>
      <c r="E104" s="2317"/>
      <c r="F104" s="2317"/>
      <c r="G104" s="2317"/>
      <c r="H104" s="2317" t="s">
        <v>310</v>
      </c>
      <c r="I104" s="2317"/>
      <c r="J104" s="2317"/>
      <c r="K104" s="2317"/>
      <c r="L104" s="2317"/>
      <c r="M104" s="2317"/>
      <c r="N104" s="2317"/>
      <c r="O104" s="2317"/>
      <c r="P104" s="2318">
        <v>24482</v>
      </c>
      <c r="Q104" s="2319"/>
      <c r="R104" s="2319"/>
      <c r="S104" s="2319"/>
      <c r="T104" s="2116">
        <f>ROUND(IPMT(($AA$3%+0.35%)/11,1,$D$219-$D$208+1,$P$220-(SUM($P$4:P103)))*-1,2)</f>
        <v>15790.85</v>
      </c>
      <c r="U104" s="2116"/>
      <c r="V104" s="2116"/>
      <c r="W104" s="2116"/>
      <c r="X104" s="783"/>
      <c r="Y104" s="782"/>
      <c r="Z104" s="781"/>
      <c r="AA104" s="783"/>
    </row>
    <row r="105" spans="1:27">
      <c r="A105" s="2112">
        <v>30</v>
      </c>
      <c r="B105" s="2313"/>
      <c r="C105" s="2313"/>
      <c r="D105" s="2317">
        <f t="shared" si="8"/>
        <v>2021</v>
      </c>
      <c r="E105" s="2317"/>
      <c r="F105" s="2317"/>
      <c r="G105" s="2317"/>
      <c r="H105" s="2317" t="s">
        <v>311</v>
      </c>
      <c r="I105" s="2317"/>
      <c r="J105" s="2317"/>
      <c r="K105" s="2317"/>
      <c r="L105" s="2317"/>
      <c r="M105" s="2317"/>
      <c r="N105" s="2317"/>
      <c r="O105" s="2317"/>
      <c r="P105" s="2318">
        <v>24482</v>
      </c>
      <c r="Q105" s="2319"/>
      <c r="R105" s="2319"/>
      <c r="S105" s="2319"/>
      <c r="T105" s="2116">
        <f>ROUND(IPMT(($AA$3%+0.35%)/11,1,$D$219-$D$208+1,$P$220-(SUM($P$4:P104)))*-1,2)</f>
        <v>15647.3</v>
      </c>
      <c r="U105" s="2116"/>
      <c r="V105" s="2116"/>
      <c r="W105" s="2116"/>
      <c r="X105" s="783"/>
      <c r="Y105" s="782"/>
      <c r="Z105" s="781"/>
      <c r="AA105" s="783"/>
    </row>
    <row r="106" spans="1:27">
      <c r="A106" s="2112">
        <v>31</v>
      </c>
      <c r="B106" s="2313"/>
      <c r="C106" s="2313"/>
      <c r="D106" s="2317">
        <f t="shared" si="8"/>
        <v>2021</v>
      </c>
      <c r="E106" s="2317"/>
      <c r="F106" s="2317"/>
      <c r="G106" s="2317"/>
      <c r="H106" s="2317" t="s">
        <v>312</v>
      </c>
      <c r="I106" s="2317"/>
      <c r="J106" s="2317"/>
      <c r="K106" s="2317"/>
      <c r="L106" s="2317"/>
      <c r="M106" s="2317"/>
      <c r="N106" s="2317"/>
      <c r="O106" s="2317"/>
      <c r="P106" s="2318">
        <v>24482</v>
      </c>
      <c r="Q106" s="2319"/>
      <c r="R106" s="2319"/>
      <c r="S106" s="2319"/>
      <c r="T106" s="2116">
        <f>ROUND(IPMT(($AA$3%+0.35%)/11,1,$D$219-$D$208+1,$P$220-(SUM($P$4:P105)))*-1,2)</f>
        <v>15503.74</v>
      </c>
      <c r="U106" s="2116"/>
      <c r="V106" s="2116"/>
      <c r="W106" s="2116"/>
      <c r="X106" s="783"/>
      <c r="Y106" s="782"/>
      <c r="Z106" s="781"/>
      <c r="AA106" s="783"/>
    </row>
    <row r="107" spans="1:27">
      <c r="A107" s="2112">
        <v>32</v>
      </c>
      <c r="B107" s="2313"/>
      <c r="C107" s="2313"/>
      <c r="D107" s="2317">
        <f t="shared" si="8"/>
        <v>2021</v>
      </c>
      <c r="E107" s="2317"/>
      <c r="F107" s="2317"/>
      <c r="G107" s="2317"/>
      <c r="H107" s="2317" t="s">
        <v>313</v>
      </c>
      <c r="I107" s="2317"/>
      <c r="J107" s="2317"/>
      <c r="K107" s="2317"/>
      <c r="L107" s="2317"/>
      <c r="M107" s="2317"/>
      <c r="N107" s="2317"/>
      <c r="O107" s="2317"/>
      <c r="P107" s="2318">
        <v>24482</v>
      </c>
      <c r="Q107" s="2319"/>
      <c r="R107" s="2319"/>
      <c r="S107" s="2319"/>
      <c r="T107" s="2116">
        <f>ROUND(IPMT(($AA$3%+0.35%)/11,1,$D$219-$D$208+1,$P$220-(SUM($P$4:P106)))*-1,2)</f>
        <v>15360.19</v>
      </c>
      <c r="U107" s="2116"/>
      <c r="V107" s="2116"/>
      <c r="W107" s="2116"/>
      <c r="X107" s="783"/>
      <c r="Y107" s="782"/>
      <c r="Z107" s="781"/>
      <c r="AA107" s="783"/>
    </row>
    <row r="108" spans="1:27">
      <c r="A108" s="2112">
        <v>33</v>
      </c>
      <c r="B108" s="2313"/>
      <c r="C108" s="2313"/>
      <c r="D108" s="2317">
        <f t="shared" si="8"/>
        <v>2021</v>
      </c>
      <c r="E108" s="2317"/>
      <c r="F108" s="2317"/>
      <c r="G108" s="2317"/>
      <c r="H108" s="2317" t="s">
        <v>314</v>
      </c>
      <c r="I108" s="2317"/>
      <c r="J108" s="2317"/>
      <c r="K108" s="2317"/>
      <c r="L108" s="2317"/>
      <c r="M108" s="2317"/>
      <c r="N108" s="2317"/>
      <c r="O108" s="2317"/>
      <c r="P108" s="2318">
        <v>24482</v>
      </c>
      <c r="Q108" s="2319"/>
      <c r="R108" s="2319"/>
      <c r="S108" s="2319"/>
      <c r="T108" s="2116">
        <f>ROUND(IPMT(($AA$3%+0.35%)/11,1,$D$219-$D$208+1,$P$220-(SUM($P$4:P107)))*-1,2)</f>
        <v>15216.63</v>
      </c>
      <c r="U108" s="2116"/>
      <c r="V108" s="2116"/>
      <c r="W108" s="2116"/>
      <c r="X108" s="783"/>
      <c r="Y108" s="782"/>
      <c r="Z108" s="781"/>
      <c r="AA108" s="783"/>
    </row>
    <row r="109" spans="1:27">
      <c r="A109" s="2112">
        <v>34</v>
      </c>
      <c r="B109" s="2313"/>
      <c r="C109" s="2313"/>
      <c r="D109" s="2317">
        <f t="shared" si="8"/>
        <v>2021</v>
      </c>
      <c r="E109" s="2317"/>
      <c r="F109" s="2317"/>
      <c r="G109" s="2317"/>
      <c r="H109" s="2317" t="s">
        <v>315</v>
      </c>
      <c r="I109" s="2317"/>
      <c r="J109" s="2317"/>
      <c r="K109" s="2317"/>
      <c r="L109" s="2317"/>
      <c r="M109" s="2317"/>
      <c r="N109" s="2317"/>
      <c r="O109" s="2317"/>
      <c r="P109" s="2318">
        <v>24482</v>
      </c>
      <c r="Q109" s="2319"/>
      <c r="R109" s="2319"/>
      <c r="S109" s="2319"/>
      <c r="T109" s="2116">
        <f>ROUND(IPMT(($AA$3%+0.35%)/11,1,$D$219-$D$208+1,$P$220-(SUM($P$4:P108)))*-1,2)</f>
        <v>15073.08</v>
      </c>
      <c r="U109" s="2116"/>
      <c r="V109" s="2116"/>
      <c r="W109" s="2116"/>
      <c r="X109" s="783"/>
      <c r="Y109" s="782"/>
      <c r="Z109" s="781"/>
      <c r="AA109" s="783"/>
    </row>
    <row r="110" spans="1:27">
      <c r="A110" s="2112">
        <v>35</v>
      </c>
      <c r="B110" s="2313"/>
      <c r="C110" s="2313"/>
      <c r="D110" s="2317">
        <f t="shared" si="8"/>
        <v>2021</v>
      </c>
      <c r="E110" s="2317"/>
      <c r="F110" s="2317"/>
      <c r="G110" s="2317"/>
      <c r="H110" s="2317" t="s">
        <v>316</v>
      </c>
      <c r="I110" s="2317"/>
      <c r="J110" s="2317"/>
      <c r="K110" s="2317"/>
      <c r="L110" s="2317"/>
      <c r="M110" s="2317"/>
      <c r="N110" s="2317"/>
      <c r="O110" s="2317"/>
      <c r="P110" s="2318">
        <v>24482</v>
      </c>
      <c r="Q110" s="2319"/>
      <c r="R110" s="2319"/>
      <c r="S110" s="2319"/>
      <c r="T110" s="2116">
        <f>ROUND(IPMT(($AA$3%+0.35%)/11,1,$D$219-$D$208+1,$P$220-(SUM($P$4:P109)))*-1,2)</f>
        <v>14929.53</v>
      </c>
      <c r="U110" s="2116"/>
      <c r="V110" s="2116"/>
      <c r="W110" s="2116"/>
      <c r="X110" s="783"/>
      <c r="Y110" s="782"/>
      <c r="Z110" s="781"/>
      <c r="AA110" s="783"/>
    </row>
    <row r="111" spans="1:27">
      <c r="A111" s="2112">
        <v>36</v>
      </c>
      <c r="B111" s="2313"/>
      <c r="C111" s="2313"/>
      <c r="D111" s="2317">
        <f t="shared" si="8"/>
        <v>2021</v>
      </c>
      <c r="E111" s="2317"/>
      <c r="F111" s="2317"/>
      <c r="G111" s="2317"/>
      <c r="H111" s="2332" t="s">
        <v>317</v>
      </c>
      <c r="I111" s="2332"/>
      <c r="J111" s="2332"/>
      <c r="K111" s="2332"/>
      <c r="L111" s="2332"/>
      <c r="M111" s="2332"/>
      <c r="N111" s="2332"/>
      <c r="O111" s="2332"/>
      <c r="P111" s="2318">
        <v>24482</v>
      </c>
      <c r="Q111" s="2319"/>
      <c r="R111" s="2319"/>
      <c r="S111" s="2319"/>
      <c r="T111" s="2111">
        <f>ROUND(IPMT(($AA$3%+0.35%)/11,1,$D$219-$D$208+1,$P$220-(SUM($P$4:P110)))*-1,2)</f>
        <v>14785.97</v>
      </c>
      <c r="U111" s="2111"/>
      <c r="V111" s="2111"/>
      <c r="W111" s="2111"/>
      <c r="X111" s="783"/>
      <c r="Y111" s="2324">
        <f>SUM(T100:W111)</f>
        <v>186906.22</v>
      </c>
      <c r="Z111" s="2325"/>
      <c r="AA111" s="783"/>
    </row>
    <row r="112" spans="1:27">
      <c r="A112" s="2326">
        <v>37</v>
      </c>
      <c r="B112" s="2327"/>
      <c r="C112" s="2327"/>
      <c r="D112" s="2328">
        <f>D100+1</f>
        <v>2022</v>
      </c>
      <c r="E112" s="2328"/>
      <c r="F112" s="2328"/>
      <c r="G112" s="2328"/>
      <c r="H112" s="2328" t="s">
        <v>306</v>
      </c>
      <c r="I112" s="2328"/>
      <c r="J112" s="2328"/>
      <c r="K112" s="2328"/>
      <c r="L112" s="2328"/>
      <c r="M112" s="2328"/>
      <c r="N112" s="2328"/>
      <c r="O112" s="2328"/>
      <c r="P112" s="2318">
        <v>24482</v>
      </c>
      <c r="Q112" s="2319"/>
      <c r="R112" s="2319"/>
      <c r="S112" s="2319"/>
      <c r="T112" s="2331">
        <f>ROUND(IPMT(($AA$3%+0.35%)/11,1,$D$219-$D$88+1,$P$220-(SUM($P$4:P111)))*-1,2)</f>
        <v>14642.42</v>
      </c>
      <c r="U112" s="2331"/>
      <c r="V112" s="2331"/>
      <c r="W112" s="2331"/>
      <c r="X112" s="783"/>
      <c r="Y112" s="782"/>
      <c r="Z112" s="781"/>
      <c r="AA112" s="783"/>
    </row>
    <row r="113" spans="1:27">
      <c r="A113" s="2112">
        <v>38</v>
      </c>
      <c r="B113" s="2313"/>
      <c r="C113" s="2313"/>
      <c r="D113" s="2317">
        <f t="shared" ref="D113:D123" si="9">D101+1</f>
        <v>2022</v>
      </c>
      <c r="E113" s="2317"/>
      <c r="F113" s="2317"/>
      <c r="G113" s="2317"/>
      <c r="H113" s="2317" t="s">
        <v>307</v>
      </c>
      <c r="I113" s="2317"/>
      <c r="J113" s="2317"/>
      <c r="K113" s="2317"/>
      <c r="L113" s="2317"/>
      <c r="M113" s="2317"/>
      <c r="N113" s="2317"/>
      <c r="O113" s="2317"/>
      <c r="P113" s="2318">
        <v>24482</v>
      </c>
      <c r="Q113" s="2319"/>
      <c r="R113" s="2319"/>
      <c r="S113" s="2319"/>
      <c r="T113" s="2116">
        <f>ROUND(IPMT(($AA$3%+0.35%)/11,1,$D$219-$D$208+1,$P$220-(SUM($P$4:P112)))*-1,2)</f>
        <v>14498.87</v>
      </c>
      <c r="U113" s="2116"/>
      <c r="V113" s="2116"/>
      <c r="W113" s="2116"/>
      <c r="X113" s="783"/>
      <c r="Y113" s="782"/>
      <c r="Z113" s="781"/>
      <c r="AA113" s="783"/>
    </row>
    <row r="114" spans="1:27">
      <c r="A114" s="2112">
        <v>39</v>
      </c>
      <c r="B114" s="2313"/>
      <c r="C114" s="2313"/>
      <c r="D114" s="2317">
        <f t="shared" si="9"/>
        <v>2022</v>
      </c>
      <c r="E114" s="2317"/>
      <c r="F114" s="2317"/>
      <c r="G114" s="2317"/>
      <c r="H114" s="2317" t="s">
        <v>308</v>
      </c>
      <c r="I114" s="2317"/>
      <c r="J114" s="2317"/>
      <c r="K114" s="2317"/>
      <c r="L114" s="2317"/>
      <c r="M114" s="2317"/>
      <c r="N114" s="2317"/>
      <c r="O114" s="2317"/>
      <c r="P114" s="2318">
        <v>24482</v>
      </c>
      <c r="Q114" s="2319"/>
      <c r="R114" s="2319"/>
      <c r="S114" s="2319"/>
      <c r="T114" s="2116">
        <f>ROUND(IPMT(($AA$3%+0.35%)/11,1,$D$219-$D$208+1,$P$220-(SUM($P$4:P113)))*-1,2)</f>
        <v>14355.31</v>
      </c>
      <c r="U114" s="2116"/>
      <c r="V114" s="2116"/>
      <c r="W114" s="2116"/>
      <c r="X114" s="783"/>
      <c r="Y114" s="782"/>
      <c r="Z114" s="781"/>
      <c r="AA114" s="783"/>
    </row>
    <row r="115" spans="1:27">
      <c r="A115" s="2112">
        <v>40</v>
      </c>
      <c r="B115" s="2313"/>
      <c r="C115" s="2313"/>
      <c r="D115" s="2317">
        <f t="shared" si="9"/>
        <v>2022</v>
      </c>
      <c r="E115" s="2317"/>
      <c r="F115" s="2317"/>
      <c r="G115" s="2317"/>
      <c r="H115" s="2317" t="s">
        <v>309</v>
      </c>
      <c r="I115" s="2317"/>
      <c r="J115" s="2317"/>
      <c r="K115" s="2317"/>
      <c r="L115" s="2317"/>
      <c r="M115" s="2317"/>
      <c r="N115" s="2317"/>
      <c r="O115" s="2317"/>
      <c r="P115" s="2318">
        <v>24482</v>
      </c>
      <c r="Q115" s="2319"/>
      <c r="R115" s="2319"/>
      <c r="S115" s="2319"/>
      <c r="T115" s="2116">
        <f>ROUND(IPMT(($AA$3%+0.35%)/11,1,$D$219-$D$208+1,$P$220-(SUM($P$4:P114)))*-1,2)</f>
        <v>14211.76</v>
      </c>
      <c r="U115" s="2116"/>
      <c r="V115" s="2116"/>
      <c r="W115" s="2116"/>
      <c r="X115" s="783"/>
      <c r="Y115" s="782"/>
      <c r="Z115" s="781"/>
      <c r="AA115" s="783"/>
    </row>
    <row r="116" spans="1:27">
      <c r="A116" s="2112">
        <v>41</v>
      </c>
      <c r="B116" s="2313"/>
      <c r="C116" s="2313"/>
      <c r="D116" s="2317">
        <f t="shared" si="9"/>
        <v>2022</v>
      </c>
      <c r="E116" s="2317"/>
      <c r="F116" s="2317"/>
      <c r="G116" s="2317"/>
      <c r="H116" s="2317" t="s">
        <v>310</v>
      </c>
      <c r="I116" s="2317"/>
      <c r="J116" s="2317"/>
      <c r="K116" s="2317"/>
      <c r="L116" s="2317"/>
      <c r="M116" s="2317"/>
      <c r="N116" s="2317"/>
      <c r="O116" s="2317"/>
      <c r="P116" s="2318">
        <v>24482</v>
      </c>
      <c r="Q116" s="2319"/>
      <c r="R116" s="2319"/>
      <c r="S116" s="2319"/>
      <c r="T116" s="2116">
        <f>ROUND(IPMT(($AA$3%+0.35%)/11,1,$D$219-$D$208+1,$P$220-(SUM($P$4:P115)))*-1,2)</f>
        <v>14068.21</v>
      </c>
      <c r="U116" s="2116"/>
      <c r="V116" s="2116"/>
      <c r="W116" s="2116"/>
      <c r="X116" s="783"/>
      <c r="Y116" s="782"/>
      <c r="Z116" s="781"/>
      <c r="AA116" s="783"/>
    </row>
    <row r="117" spans="1:27">
      <c r="A117" s="2112">
        <v>42</v>
      </c>
      <c r="B117" s="2313"/>
      <c r="C117" s="2313"/>
      <c r="D117" s="2317">
        <f t="shared" si="9"/>
        <v>2022</v>
      </c>
      <c r="E117" s="2317"/>
      <c r="F117" s="2317"/>
      <c r="G117" s="2317"/>
      <c r="H117" s="2317" t="s">
        <v>311</v>
      </c>
      <c r="I117" s="2317"/>
      <c r="J117" s="2317"/>
      <c r="K117" s="2317"/>
      <c r="L117" s="2317"/>
      <c r="M117" s="2317"/>
      <c r="N117" s="2317"/>
      <c r="O117" s="2317"/>
      <c r="P117" s="2318">
        <v>24482</v>
      </c>
      <c r="Q117" s="2319"/>
      <c r="R117" s="2319"/>
      <c r="S117" s="2319"/>
      <c r="T117" s="2116">
        <f>ROUND(IPMT(($AA$3%+0.35%)/11,1,$D$219-$D$208+1,$P$220-(SUM($P$4:P116)))*-1,2)</f>
        <v>13924.65</v>
      </c>
      <c r="U117" s="2116"/>
      <c r="V117" s="2116"/>
      <c r="W117" s="2116"/>
      <c r="X117" s="783"/>
      <c r="Y117" s="782"/>
      <c r="Z117" s="781"/>
      <c r="AA117" s="783"/>
    </row>
    <row r="118" spans="1:27">
      <c r="A118" s="2112">
        <v>43</v>
      </c>
      <c r="B118" s="2313"/>
      <c r="C118" s="2313"/>
      <c r="D118" s="2317">
        <f t="shared" si="9"/>
        <v>2022</v>
      </c>
      <c r="E118" s="2317"/>
      <c r="F118" s="2317"/>
      <c r="G118" s="2317"/>
      <c r="H118" s="2317" t="s">
        <v>312</v>
      </c>
      <c r="I118" s="2317"/>
      <c r="J118" s="2317"/>
      <c r="K118" s="2317"/>
      <c r="L118" s="2317"/>
      <c r="M118" s="2317"/>
      <c r="N118" s="2317"/>
      <c r="O118" s="2317"/>
      <c r="P118" s="2318">
        <v>24482</v>
      </c>
      <c r="Q118" s="2319"/>
      <c r="R118" s="2319"/>
      <c r="S118" s="2319"/>
      <c r="T118" s="2116">
        <f>ROUND(IPMT(($AA$3%+0.35%)/11,1,$D$219-$D$208+1,$P$220-(SUM($P$4:P117)))*-1,2)</f>
        <v>13781.1</v>
      </c>
      <c r="U118" s="2116"/>
      <c r="V118" s="2116"/>
      <c r="W118" s="2116"/>
      <c r="X118" s="783"/>
      <c r="Y118" s="782"/>
      <c r="Z118" s="781"/>
      <c r="AA118" s="783"/>
    </row>
    <row r="119" spans="1:27">
      <c r="A119" s="2112">
        <v>44</v>
      </c>
      <c r="B119" s="2313"/>
      <c r="C119" s="2313"/>
      <c r="D119" s="2317">
        <f t="shared" si="9"/>
        <v>2022</v>
      </c>
      <c r="E119" s="2317"/>
      <c r="F119" s="2317"/>
      <c r="G119" s="2317"/>
      <c r="H119" s="2317" t="s">
        <v>313</v>
      </c>
      <c r="I119" s="2317"/>
      <c r="J119" s="2317"/>
      <c r="K119" s="2317"/>
      <c r="L119" s="2317"/>
      <c r="M119" s="2317"/>
      <c r="N119" s="2317"/>
      <c r="O119" s="2317"/>
      <c r="P119" s="2318">
        <v>24482</v>
      </c>
      <c r="Q119" s="2319"/>
      <c r="R119" s="2319"/>
      <c r="S119" s="2319"/>
      <c r="T119" s="2116">
        <f>ROUND(IPMT(($AA$3%+0.35%)/11,1,$D$219-$D$208+1,$P$220-(SUM($P$4:P118)))*-1,2)</f>
        <v>13637.55</v>
      </c>
      <c r="U119" s="2116"/>
      <c r="V119" s="2116"/>
      <c r="W119" s="2116"/>
      <c r="X119" s="783"/>
      <c r="Y119" s="782"/>
      <c r="Z119" s="781"/>
      <c r="AA119" s="783"/>
    </row>
    <row r="120" spans="1:27">
      <c r="A120" s="2112">
        <v>45</v>
      </c>
      <c r="B120" s="2313"/>
      <c r="C120" s="2313"/>
      <c r="D120" s="2317">
        <f t="shared" si="9"/>
        <v>2022</v>
      </c>
      <c r="E120" s="2317"/>
      <c r="F120" s="2317"/>
      <c r="G120" s="2317"/>
      <c r="H120" s="2317" t="s">
        <v>314</v>
      </c>
      <c r="I120" s="2317"/>
      <c r="J120" s="2317"/>
      <c r="K120" s="2317"/>
      <c r="L120" s="2317"/>
      <c r="M120" s="2317"/>
      <c r="N120" s="2317"/>
      <c r="O120" s="2317"/>
      <c r="P120" s="2318">
        <v>24482</v>
      </c>
      <c r="Q120" s="2319"/>
      <c r="R120" s="2319"/>
      <c r="S120" s="2319"/>
      <c r="T120" s="2116">
        <f>ROUND(IPMT(($AA$3%+0.35%)/11,1,$D$219-$D$208+1,$P$220-(SUM($P$4:P119)))*-1,2)</f>
        <v>13493.99</v>
      </c>
      <c r="U120" s="2116"/>
      <c r="V120" s="2116"/>
      <c r="W120" s="2116"/>
      <c r="X120" s="783"/>
      <c r="Y120" s="782"/>
      <c r="Z120" s="781"/>
      <c r="AA120" s="783"/>
    </row>
    <row r="121" spans="1:27">
      <c r="A121" s="2112">
        <v>46</v>
      </c>
      <c r="B121" s="2313"/>
      <c r="C121" s="2313"/>
      <c r="D121" s="2317">
        <f t="shared" si="9"/>
        <v>2022</v>
      </c>
      <c r="E121" s="2317"/>
      <c r="F121" s="2317"/>
      <c r="G121" s="2317"/>
      <c r="H121" s="2317" t="s">
        <v>315</v>
      </c>
      <c r="I121" s="2317"/>
      <c r="J121" s="2317"/>
      <c r="K121" s="2317"/>
      <c r="L121" s="2317"/>
      <c r="M121" s="2317"/>
      <c r="N121" s="2317"/>
      <c r="O121" s="2317"/>
      <c r="P121" s="2318">
        <v>24482</v>
      </c>
      <c r="Q121" s="2319"/>
      <c r="R121" s="2319"/>
      <c r="S121" s="2319"/>
      <c r="T121" s="2116">
        <f>ROUND(IPMT(($AA$3%+0.35%)/11,1,$D$219-$D$208+1,$P$220-(SUM($P$4:P120)))*-1,2)</f>
        <v>13350.44</v>
      </c>
      <c r="U121" s="2116"/>
      <c r="V121" s="2116"/>
      <c r="W121" s="2116"/>
      <c r="X121" s="783"/>
      <c r="Y121" s="782"/>
      <c r="Z121" s="781"/>
      <c r="AA121" s="783"/>
    </row>
    <row r="122" spans="1:27">
      <c r="A122" s="2112">
        <v>47</v>
      </c>
      <c r="B122" s="2313"/>
      <c r="C122" s="2313"/>
      <c r="D122" s="2317">
        <f t="shared" si="9"/>
        <v>2022</v>
      </c>
      <c r="E122" s="2317"/>
      <c r="F122" s="2317"/>
      <c r="G122" s="2317"/>
      <c r="H122" s="2317" t="s">
        <v>316</v>
      </c>
      <c r="I122" s="2317"/>
      <c r="J122" s="2317"/>
      <c r="K122" s="2317"/>
      <c r="L122" s="2317"/>
      <c r="M122" s="2317"/>
      <c r="N122" s="2317"/>
      <c r="O122" s="2317"/>
      <c r="P122" s="2318">
        <v>24482</v>
      </c>
      <c r="Q122" s="2319"/>
      <c r="R122" s="2319"/>
      <c r="S122" s="2319"/>
      <c r="T122" s="2116">
        <f>ROUND(IPMT(($AA$3%+0.35%)/11,1,$D$219-$D$208+1,$P$220-(SUM($P$4:P121)))*-1,2)</f>
        <v>13206.89</v>
      </c>
      <c r="U122" s="2116"/>
      <c r="V122" s="2116"/>
      <c r="W122" s="2116"/>
      <c r="X122" s="783"/>
      <c r="Y122" s="782"/>
      <c r="Z122" s="781"/>
      <c r="AA122" s="783"/>
    </row>
    <row r="123" spans="1:27">
      <c r="A123" s="2112">
        <v>48</v>
      </c>
      <c r="B123" s="2313"/>
      <c r="C123" s="2313"/>
      <c r="D123" s="2317">
        <f t="shared" si="9"/>
        <v>2022</v>
      </c>
      <c r="E123" s="2317"/>
      <c r="F123" s="2317"/>
      <c r="G123" s="2317"/>
      <c r="H123" s="2332" t="s">
        <v>317</v>
      </c>
      <c r="I123" s="2332"/>
      <c r="J123" s="2332"/>
      <c r="K123" s="2332"/>
      <c r="L123" s="2332"/>
      <c r="M123" s="2332"/>
      <c r="N123" s="2332"/>
      <c r="O123" s="2332"/>
      <c r="P123" s="2318">
        <v>24482</v>
      </c>
      <c r="Q123" s="2319"/>
      <c r="R123" s="2319"/>
      <c r="S123" s="2319"/>
      <c r="T123" s="2111">
        <f>ROUND(IPMT(($AA$3%+0.35%)/11,1,$D$219-$D$208+1,$P$220-(SUM($P$4:P122)))*-1,2)</f>
        <v>13063.33</v>
      </c>
      <c r="U123" s="2111"/>
      <c r="V123" s="2111"/>
      <c r="W123" s="2111"/>
      <c r="X123" s="783"/>
      <c r="Y123" s="2324">
        <f>SUM(T112:W123)</f>
        <v>166234.51999999999</v>
      </c>
      <c r="Z123" s="2325"/>
      <c r="AA123" s="783"/>
    </row>
    <row r="124" spans="1:27">
      <c r="A124" s="2326">
        <v>37</v>
      </c>
      <c r="B124" s="2327"/>
      <c r="C124" s="2327"/>
      <c r="D124" s="2328">
        <f>D112+1</f>
        <v>2023</v>
      </c>
      <c r="E124" s="2328"/>
      <c r="F124" s="2328"/>
      <c r="G124" s="2328"/>
      <c r="H124" s="2328" t="s">
        <v>306</v>
      </c>
      <c r="I124" s="2328"/>
      <c r="J124" s="2328"/>
      <c r="K124" s="2328"/>
      <c r="L124" s="2328"/>
      <c r="M124" s="2328"/>
      <c r="N124" s="2328"/>
      <c r="O124" s="2328"/>
      <c r="P124" s="2318">
        <v>24482</v>
      </c>
      <c r="Q124" s="2319"/>
      <c r="R124" s="2319"/>
      <c r="S124" s="2319"/>
      <c r="T124" s="2331">
        <f>ROUND(IPMT(($AA$3%+0.35%)/11,1,$D$219-$D$88+1,$P$220-(SUM($P$4:P123)))*-1,2)</f>
        <v>12919.78</v>
      </c>
      <c r="U124" s="2331"/>
      <c r="V124" s="2331"/>
      <c r="W124" s="2331"/>
      <c r="X124" s="783"/>
      <c r="Y124" s="782"/>
      <c r="Z124" s="781"/>
      <c r="AA124" s="783"/>
    </row>
    <row r="125" spans="1:27">
      <c r="A125" s="2112">
        <v>38</v>
      </c>
      <c r="B125" s="2313"/>
      <c r="C125" s="2313"/>
      <c r="D125" s="2317">
        <f t="shared" ref="D125:D135" si="10">D113+1</f>
        <v>2023</v>
      </c>
      <c r="E125" s="2317"/>
      <c r="F125" s="2317"/>
      <c r="G125" s="2317"/>
      <c r="H125" s="2317" t="s">
        <v>307</v>
      </c>
      <c r="I125" s="2317"/>
      <c r="J125" s="2317"/>
      <c r="K125" s="2317"/>
      <c r="L125" s="2317"/>
      <c r="M125" s="2317"/>
      <c r="N125" s="2317"/>
      <c r="O125" s="2317"/>
      <c r="P125" s="2318">
        <v>24482</v>
      </c>
      <c r="Q125" s="2319"/>
      <c r="R125" s="2319"/>
      <c r="S125" s="2319"/>
      <c r="T125" s="2116">
        <f>ROUND(IPMT(($AA$3%+0.35%)/11,1,$D$219-$D$208+1,$P$220-(SUM($P$4:P124)))*-1,2)</f>
        <v>12776.22</v>
      </c>
      <c r="U125" s="2116"/>
      <c r="V125" s="2116"/>
      <c r="W125" s="2116"/>
      <c r="X125" s="783"/>
      <c r="Y125" s="782"/>
      <c r="Z125" s="781"/>
      <c r="AA125" s="783"/>
    </row>
    <row r="126" spans="1:27">
      <c r="A126" s="2112">
        <v>39</v>
      </c>
      <c r="B126" s="2313"/>
      <c r="C126" s="2313"/>
      <c r="D126" s="2317">
        <f t="shared" si="10"/>
        <v>2023</v>
      </c>
      <c r="E126" s="2317"/>
      <c r="F126" s="2317"/>
      <c r="G126" s="2317"/>
      <c r="H126" s="2317" t="s">
        <v>308</v>
      </c>
      <c r="I126" s="2317"/>
      <c r="J126" s="2317"/>
      <c r="K126" s="2317"/>
      <c r="L126" s="2317"/>
      <c r="M126" s="2317"/>
      <c r="N126" s="2317"/>
      <c r="O126" s="2317"/>
      <c r="P126" s="2318">
        <v>24482</v>
      </c>
      <c r="Q126" s="2319"/>
      <c r="R126" s="2319"/>
      <c r="S126" s="2319"/>
      <c r="T126" s="2116">
        <f>ROUND(IPMT(($AA$3%+0.35%)/11,1,$D$219-$D$208+1,$P$220-(SUM($P$4:P125)))*-1,2)</f>
        <v>12632.67</v>
      </c>
      <c r="U126" s="2116"/>
      <c r="V126" s="2116"/>
      <c r="W126" s="2116"/>
      <c r="X126" s="783"/>
      <c r="Y126" s="782"/>
      <c r="Z126" s="781"/>
      <c r="AA126" s="783"/>
    </row>
    <row r="127" spans="1:27">
      <c r="A127" s="2112">
        <v>40</v>
      </c>
      <c r="B127" s="2313"/>
      <c r="C127" s="2313"/>
      <c r="D127" s="2317">
        <f t="shared" si="10"/>
        <v>2023</v>
      </c>
      <c r="E127" s="2317"/>
      <c r="F127" s="2317"/>
      <c r="G127" s="2317"/>
      <c r="H127" s="2317" t="s">
        <v>309</v>
      </c>
      <c r="I127" s="2317"/>
      <c r="J127" s="2317"/>
      <c r="K127" s="2317"/>
      <c r="L127" s="2317"/>
      <c r="M127" s="2317"/>
      <c r="N127" s="2317"/>
      <c r="O127" s="2317"/>
      <c r="P127" s="2318">
        <v>24482</v>
      </c>
      <c r="Q127" s="2319"/>
      <c r="R127" s="2319"/>
      <c r="S127" s="2319"/>
      <c r="T127" s="2116">
        <f>ROUND(IPMT(($AA$3%+0.35%)/11,1,$D$219-$D$208+1,$P$220-(SUM($P$4:P126)))*-1,2)</f>
        <v>12489.12</v>
      </c>
      <c r="U127" s="2116"/>
      <c r="V127" s="2116"/>
      <c r="W127" s="2116"/>
      <c r="X127" s="783"/>
      <c r="Y127" s="782"/>
      <c r="Z127" s="781"/>
      <c r="AA127" s="783"/>
    </row>
    <row r="128" spans="1:27">
      <c r="A128" s="2112">
        <v>41</v>
      </c>
      <c r="B128" s="2313"/>
      <c r="C128" s="2313"/>
      <c r="D128" s="2317">
        <f t="shared" si="10"/>
        <v>2023</v>
      </c>
      <c r="E128" s="2317"/>
      <c r="F128" s="2317"/>
      <c r="G128" s="2317"/>
      <c r="H128" s="2317" t="s">
        <v>310</v>
      </c>
      <c r="I128" s="2317"/>
      <c r="J128" s="2317"/>
      <c r="K128" s="2317"/>
      <c r="L128" s="2317"/>
      <c r="M128" s="2317"/>
      <c r="N128" s="2317"/>
      <c r="O128" s="2317"/>
      <c r="P128" s="2318">
        <v>24482</v>
      </c>
      <c r="Q128" s="2319"/>
      <c r="R128" s="2319"/>
      <c r="S128" s="2319"/>
      <c r="T128" s="2116">
        <f>ROUND(IPMT(($AA$3%+0.35%)/11,1,$D$219-$D$208+1,$P$220-(SUM($P$4:P127)))*-1,2)</f>
        <v>12345.56</v>
      </c>
      <c r="U128" s="2116"/>
      <c r="V128" s="2116"/>
      <c r="W128" s="2116"/>
      <c r="X128" s="783"/>
      <c r="Y128" s="782"/>
      <c r="Z128" s="781"/>
      <c r="AA128" s="783"/>
    </row>
    <row r="129" spans="1:27">
      <c r="A129" s="2112">
        <v>42</v>
      </c>
      <c r="B129" s="2313"/>
      <c r="C129" s="2313"/>
      <c r="D129" s="2317">
        <f t="shared" si="10"/>
        <v>2023</v>
      </c>
      <c r="E129" s="2317"/>
      <c r="F129" s="2317"/>
      <c r="G129" s="2317"/>
      <c r="H129" s="2317" t="s">
        <v>311</v>
      </c>
      <c r="I129" s="2317"/>
      <c r="J129" s="2317"/>
      <c r="K129" s="2317"/>
      <c r="L129" s="2317"/>
      <c r="M129" s="2317"/>
      <c r="N129" s="2317"/>
      <c r="O129" s="2317"/>
      <c r="P129" s="2318">
        <v>24482</v>
      </c>
      <c r="Q129" s="2319"/>
      <c r="R129" s="2319"/>
      <c r="S129" s="2319"/>
      <c r="T129" s="2116">
        <f>ROUND(IPMT(($AA$3%+0.35%)/11,1,$D$219-$D$208+1,$P$220-(SUM($P$4:P128)))*-1,2)</f>
        <v>12202.01</v>
      </c>
      <c r="U129" s="2116"/>
      <c r="V129" s="2116"/>
      <c r="W129" s="2116"/>
      <c r="X129" s="783"/>
      <c r="Y129" s="782"/>
      <c r="Z129" s="781"/>
      <c r="AA129" s="783"/>
    </row>
    <row r="130" spans="1:27">
      <c r="A130" s="2112">
        <v>43</v>
      </c>
      <c r="B130" s="2313"/>
      <c r="C130" s="2313"/>
      <c r="D130" s="2317">
        <f t="shared" si="10"/>
        <v>2023</v>
      </c>
      <c r="E130" s="2317"/>
      <c r="F130" s="2317"/>
      <c r="G130" s="2317"/>
      <c r="H130" s="2317" t="s">
        <v>312</v>
      </c>
      <c r="I130" s="2317"/>
      <c r="J130" s="2317"/>
      <c r="K130" s="2317"/>
      <c r="L130" s="2317"/>
      <c r="M130" s="2317"/>
      <c r="N130" s="2317"/>
      <c r="O130" s="2317"/>
      <c r="P130" s="2318">
        <v>24482</v>
      </c>
      <c r="Q130" s="2319"/>
      <c r="R130" s="2319"/>
      <c r="S130" s="2319"/>
      <c r="T130" s="2116">
        <f>ROUND(IPMT(($AA$3%+0.35%)/11,1,$D$219-$D$208+1,$P$220-(SUM($P$4:P129)))*-1,2)</f>
        <v>12058.46</v>
      </c>
      <c r="U130" s="2116"/>
      <c r="V130" s="2116"/>
      <c r="W130" s="2116"/>
      <c r="X130" s="783"/>
      <c r="Y130" s="782"/>
      <c r="Z130" s="781"/>
      <c r="AA130" s="783"/>
    </row>
    <row r="131" spans="1:27">
      <c r="A131" s="2112">
        <v>44</v>
      </c>
      <c r="B131" s="2313"/>
      <c r="C131" s="2313"/>
      <c r="D131" s="2317">
        <f t="shared" si="10"/>
        <v>2023</v>
      </c>
      <c r="E131" s="2317"/>
      <c r="F131" s="2317"/>
      <c r="G131" s="2317"/>
      <c r="H131" s="2317" t="s">
        <v>313</v>
      </c>
      <c r="I131" s="2317"/>
      <c r="J131" s="2317"/>
      <c r="K131" s="2317"/>
      <c r="L131" s="2317"/>
      <c r="M131" s="2317"/>
      <c r="N131" s="2317"/>
      <c r="O131" s="2317"/>
      <c r="P131" s="2318">
        <v>24482</v>
      </c>
      <c r="Q131" s="2319"/>
      <c r="R131" s="2319"/>
      <c r="S131" s="2319"/>
      <c r="T131" s="2116">
        <f>ROUND(IPMT(($AA$3%+0.35%)/11,1,$D$219-$D$208+1,$P$220-(SUM($P$4:P130)))*-1,2)</f>
        <v>11914.9</v>
      </c>
      <c r="U131" s="2116"/>
      <c r="V131" s="2116"/>
      <c r="W131" s="2116"/>
      <c r="X131" s="783"/>
      <c r="Y131" s="782"/>
      <c r="Z131" s="781"/>
      <c r="AA131" s="783"/>
    </row>
    <row r="132" spans="1:27">
      <c r="A132" s="2112">
        <v>45</v>
      </c>
      <c r="B132" s="2313"/>
      <c r="C132" s="2313"/>
      <c r="D132" s="2317">
        <f t="shared" si="10"/>
        <v>2023</v>
      </c>
      <c r="E132" s="2317"/>
      <c r="F132" s="2317"/>
      <c r="G132" s="2317"/>
      <c r="H132" s="2317" t="s">
        <v>314</v>
      </c>
      <c r="I132" s="2317"/>
      <c r="J132" s="2317"/>
      <c r="K132" s="2317"/>
      <c r="L132" s="2317"/>
      <c r="M132" s="2317"/>
      <c r="N132" s="2317"/>
      <c r="O132" s="2317"/>
      <c r="P132" s="2318">
        <v>24482</v>
      </c>
      <c r="Q132" s="2319"/>
      <c r="R132" s="2319"/>
      <c r="S132" s="2319"/>
      <c r="T132" s="2116">
        <f>ROUND(IPMT(($AA$3%+0.35%)/11,1,$D$219-$D$208+1,$P$220-(SUM($P$4:P131)))*-1,2)</f>
        <v>11771.35</v>
      </c>
      <c r="U132" s="2116"/>
      <c r="V132" s="2116"/>
      <c r="W132" s="2116"/>
      <c r="X132" s="783"/>
      <c r="Y132" s="782"/>
      <c r="Z132" s="781"/>
      <c r="AA132" s="783"/>
    </row>
    <row r="133" spans="1:27">
      <c r="A133" s="2112">
        <v>46</v>
      </c>
      <c r="B133" s="2313"/>
      <c r="C133" s="2313"/>
      <c r="D133" s="2317">
        <f t="shared" si="10"/>
        <v>2023</v>
      </c>
      <c r="E133" s="2317"/>
      <c r="F133" s="2317"/>
      <c r="G133" s="2317"/>
      <c r="H133" s="2317" t="s">
        <v>315</v>
      </c>
      <c r="I133" s="2317"/>
      <c r="J133" s="2317"/>
      <c r="K133" s="2317"/>
      <c r="L133" s="2317"/>
      <c r="M133" s="2317"/>
      <c r="N133" s="2317"/>
      <c r="O133" s="2317"/>
      <c r="P133" s="2318">
        <v>24482</v>
      </c>
      <c r="Q133" s="2319"/>
      <c r="R133" s="2319"/>
      <c r="S133" s="2319"/>
      <c r="T133" s="2116">
        <f>ROUND(IPMT(($AA$3%+0.35%)/11,1,$D$219-$D$208+1,$P$220-(SUM($P$4:P132)))*-1,2)</f>
        <v>11627.8</v>
      </c>
      <c r="U133" s="2116"/>
      <c r="V133" s="2116"/>
      <c r="W133" s="2116"/>
      <c r="X133" s="783"/>
      <c r="Y133" s="782"/>
      <c r="Z133" s="781"/>
      <c r="AA133" s="783"/>
    </row>
    <row r="134" spans="1:27">
      <c r="A134" s="2112">
        <v>47</v>
      </c>
      <c r="B134" s="2313"/>
      <c r="C134" s="2313"/>
      <c r="D134" s="2317">
        <f t="shared" si="10"/>
        <v>2023</v>
      </c>
      <c r="E134" s="2317"/>
      <c r="F134" s="2317"/>
      <c r="G134" s="2317"/>
      <c r="H134" s="2317" t="s">
        <v>316</v>
      </c>
      <c r="I134" s="2317"/>
      <c r="J134" s="2317"/>
      <c r="K134" s="2317"/>
      <c r="L134" s="2317"/>
      <c r="M134" s="2317"/>
      <c r="N134" s="2317"/>
      <c r="O134" s="2317"/>
      <c r="P134" s="2318">
        <v>24482</v>
      </c>
      <c r="Q134" s="2319"/>
      <c r="R134" s="2319"/>
      <c r="S134" s="2319"/>
      <c r="T134" s="2116">
        <f>ROUND(IPMT(($AA$3%+0.35%)/11,1,$D$219-$D$208+1,$P$220-(SUM($P$4:P133)))*-1,2)</f>
        <v>11484.24</v>
      </c>
      <c r="U134" s="2116"/>
      <c r="V134" s="2116"/>
      <c r="W134" s="2116"/>
      <c r="X134" s="783"/>
      <c r="Y134" s="782"/>
      <c r="Z134" s="781"/>
      <c r="AA134" s="783"/>
    </row>
    <row r="135" spans="1:27">
      <c r="A135" s="2112">
        <v>48</v>
      </c>
      <c r="B135" s="2313"/>
      <c r="C135" s="2313"/>
      <c r="D135" s="2317">
        <f t="shared" si="10"/>
        <v>2023</v>
      </c>
      <c r="E135" s="2317"/>
      <c r="F135" s="2317"/>
      <c r="G135" s="2317"/>
      <c r="H135" s="2332" t="s">
        <v>317</v>
      </c>
      <c r="I135" s="2332"/>
      <c r="J135" s="2332"/>
      <c r="K135" s="2332"/>
      <c r="L135" s="2332"/>
      <c r="M135" s="2332"/>
      <c r="N135" s="2332"/>
      <c r="O135" s="2332"/>
      <c r="P135" s="2318">
        <v>24482</v>
      </c>
      <c r="Q135" s="2319"/>
      <c r="R135" s="2319"/>
      <c r="S135" s="2319"/>
      <c r="T135" s="2111">
        <f>ROUND(IPMT(($AA$3%+0.35%)/11,1,$D$219-$D$208+1,$P$220-(SUM($P$4:P134)))*-1,2)</f>
        <v>11340.69</v>
      </c>
      <c r="U135" s="2111"/>
      <c r="V135" s="2111"/>
      <c r="W135" s="2111"/>
      <c r="X135" s="783"/>
      <c r="Y135" s="2324">
        <f>SUM(T124:W135)</f>
        <v>145562.80000000002</v>
      </c>
      <c r="Z135" s="2325"/>
      <c r="AA135" s="783"/>
    </row>
    <row r="136" spans="1:27">
      <c r="A136" s="2326">
        <v>37</v>
      </c>
      <c r="B136" s="2327"/>
      <c r="C136" s="2327"/>
      <c r="D136" s="2328">
        <f>D125+1</f>
        <v>2024</v>
      </c>
      <c r="E136" s="2328"/>
      <c r="F136" s="2328"/>
      <c r="G136" s="2328"/>
      <c r="H136" s="2328" t="s">
        <v>306</v>
      </c>
      <c r="I136" s="2328"/>
      <c r="J136" s="2328"/>
      <c r="K136" s="2328"/>
      <c r="L136" s="2328"/>
      <c r="M136" s="2328"/>
      <c r="N136" s="2328"/>
      <c r="O136" s="2328"/>
      <c r="P136" s="2318">
        <v>24482</v>
      </c>
      <c r="Q136" s="2319"/>
      <c r="R136" s="2319"/>
      <c r="S136" s="2319"/>
      <c r="T136" s="2331">
        <f>ROUND(IPMT(($AA$3%+0.35%)/11,1,$D$219-$D$88+1,$P$220-(SUM($P$4:P135)))*-1,2)</f>
        <v>11197.14</v>
      </c>
      <c r="U136" s="2331"/>
      <c r="V136" s="2331"/>
      <c r="W136" s="2331"/>
      <c r="X136" s="783"/>
      <c r="Y136" s="782"/>
      <c r="Z136" s="781"/>
      <c r="AA136" s="783"/>
    </row>
    <row r="137" spans="1:27">
      <c r="A137" s="2112">
        <v>38</v>
      </c>
      <c r="B137" s="2313"/>
      <c r="C137" s="2313"/>
      <c r="D137" s="2317">
        <v>2024</v>
      </c>
      <c r="E137" s="2317"/>
      <c r="F137" s="2317"/>
      <c r="G137" s="2317"/>
      <c r="H137" s="2317" t="s">
        <v>307</v>
      </c>
      <c r="I137" s="2317"/>
      <c r="J137" s="2317"/>
      <c r="K137" s="2317"/>
      <c r="L137" s="2317"/>
      <c r="M137" s="2317"/>
      <c r="N137" s="2317"/>
      <c r="O137" s="2317"/>
      <c r="P137" s="2318">
        <v>24482</v>
      </c>
      <c r="Q137" s="2319"/>
      <c r="R137" s="2319"/>
      <c r="S137" s="2319"/>
      <c r="T137" s="2116">
        <f>ROUND(IPMT(($AA$3%+0.35%)/11,1,$D$219-$D$208+1,$P$220-(SUM($P$4:P136)))*-1,2)</f>
        <v>11053.58</v>
      </c>
      <c r="U137" s="2116"/>
      <c r="V137" s="2116"/>
      <c r="W137" s="2116"/>
      <c r="X137" s="783"/>
      <c r="Y137" s="782"/>
      <c r="Z137" s="781"/>
      <c r="AA137" s="783"/>
    </row>
    <row r="138" spans="1:27">
      <c r="A138" s="2112">
        <v>39</v>
      </c>
      <c r="B138" s="2313"/>
      <c r="C138" s="2313"/>
      <c r="D138" s="2317">
        <v>2024</v>
      </c>
      <c r="E138" s="2317"/>
      <c r="F138" s="2317"/>
      <c r="G138" s="2317"/>
      <c r="H138" s="2317" t="s">
        <v>308</v>
      </c>
      <c r="I138" s="2317"/>
      <c r="J138" s="2317"/>
      <c r="K138" s="2317"/>
      <c r="L138" s="2317"/>
      <c r="M138" s="2317"/>
      <c r="N138" s="2317"/>
      <c r="O138" s="2317"/>
      <c r="P138" s="2318">
        <v>24482</v>
      </c>
      <c r="Q138" s="2319"/>
      <c r="R138" s="2319"/>
      <c r="S138" s="2319"/>
      <c r="T138" s="2116">
        <f>ROUND(IPMT(($AA$3%+0.35%)/11,1,$D$219-$D$208+1,$P$220-(SUM($P$4:P137)))*-1,2)</f>
        <v>10910.03</v>
      </c>
      <c r="U138" s="2116"/>
      <c r="V138" s="2116"/>
      <c r="W138" s="2116"/>
      <c r="X138" s="783"/>
      <c r="Y138" s="782"/>
      <c r="Z138" s="781"/>
      <c r="AA138" s="783"/>
    </row>
    <row r="139" spans="1:27">
      <c r="A139" s="2112">
        <v>40</v>
      </c>
      <c r="B139" s="2313"/>
      <c r="C139" s="2313"/>
      <c r="D139" s="2317">
        <v>2024</v>
      </c>
      <c r="E139" s="2317"/>
      <c r="F139" s="2317"/>
      <c r="G139" s="2317"/>
      <c r="H139" s="2317" t="s">
        <v>309</v>
      </c>
      <c r="I139" s="2317"/>
      <c r="J139" s="2317"/>
      <c r="K139" s="2317"/>
      <c r="L139" s="2317"/>
      <c r="M139" s="2317"/>
      <c r="N139" s="2317"/>
      <c r="O139" s="2317"/>
      <c r="P139" s="2318">
        <v>24482</v>
      </c>
      <c r="Q139" s="2319"/>
      <c r="R139" s="2319"/>
      <c r="S139" s="2319"/>
      <c r="T139" s="2116">
        <f>ROUND(IPMT(($AA$3%+0.35%)/11,1,$D$219-$D$208+1,$P$220-(SUM($P$4:P138)))*-1,2)</f>
        <v>10766.47</v>
      </c>
      <c r="U139" s="2116"/>
      <c r="V139" s="2116"/>
      <c r="W139" s="2116"/>
      <c r="X139" s="783"/>
      <c r="Y139" s="782"/>
      <c r="Z139" s="781"/>
      <c r="AA139" s="783"/>
    </row>
    <row r="140" spans="1:27">
      <c r="A140" s="2112">
        <v>41</v>
      </c>
      <c r="B140" s="2313"/>
      <c r="C140" s="2313"/>
      <c r="D140" s="2317">
        <v>2024</v>
      </c>
      <c r="E140" s="2317"/>
      <c r="F140" s="2317"/>
      <c r="G140" s="2317"/>
      <c r="H140" s="2317" t="s">
        <v>310</v>
      </c>
      <c r="I140" s="2317"/>
      <c r="J140" s="2317"/>
      <c r="K140" s="2317"/>
      <c r="L140" s="2317"/>
      <c r="M140" s="2317"/>
      <c r="N140" s="2317"/>
      <c r="O140" s="2317"/>
      <c r="P140" s="2318">
        <v>24482</v>
      </c>
      <c r="Q140" s="2319"/>
      <c r="R140" s="2319"/>
      <c r="S140" s="2319"/>
      <c r="T140" s="2116">
        <f>ROUND(IPMT(($AA$3%+0.35%)/11,1,$D$219-$D$208+1,$P$220-(SUM($P$4:P139)))*-1,2)</f>
        <v>10622.92</v>
      </c>
      <c r="U140" s="2116"/>
      <c r="V140" s="2116"/>
      <c r="W140" s="2116"/>
      <c r="X140" s="783"/>
      <c r="Y140" s="782"/>
      <c r="Z140" s="781"/>
      <c r="AA140" s="783"/>
    </row>
    <row r="141" spans="1:27">
      <c r="A141" s="2112">
        <v>42</v>
      </c>
      <c r="B141" s="2313"/>
      <c r="C141" s="2313"/>
      <c r="D141" s="2317">
        <v>2024</v>
      </c>
      <c r="E141" s="2317"/>
      <c r="F141" s="2317"/>
      <c r="G141" s="2317"/>
      <c r="H141" s="2317" t="s">
        <v>311</v>
      </c>
      <c r="I141" s="2317"/>
      <c r="J141" s="2317"/>
      <c r="K141" s="2317"/>
      <c r="L141" s="2317"/>
      <c r="M141" s="2317"/>
      <c r="N141" s="2317"/>
      <c r="O141" s="2317"/>
      <c r="P141" s="2318">
        <v>24482</v>
      </c>
      <c r="Q141" s="2319"/>
      <c r="R141" s="2319"/>
      <c r="S141" s="2319"/>
      <c r="T141" s="2116">
        <f>ROUND(IPMT(($AA$3%+0.35%)/11,1,$D$219-$D$208+1,$P$220-(SUM($P$4:P140)))*-1,2)</f>
        <v>10479.370000000001</v>
      </c>
      <c r="U141" s="2116"/>
      <c r="V141" s="2116"/>
      <c r="W141" s="2116"/>
      <c r="X141" s="783"/>
      <c r="Y141" s="782"/>
      <c r="Z141" s="781"/>
      <c r="AA141" s="783"/>
    </row>
    <row r="142" spans="1:27">
      <c r="A142" s="2112">
        <v>43</v>
      </c>
      <c r="B142" s="2313"/>
      <c r="C142" s="2313"/>
      <c r="D142" s="2317">
        <v>2024</v>
      </c>
      <c r="E142" s="2317"/>
      <c r="F142" s="2317"/>
      <c r="G142" s="2317"/>
      <c r="H142" s="2317" t="s">
        <v>312</v>
      </c>
      <c r="I142" s="2317"/>
      <c r="J142" s="2317"/>
      <c r="K142" s="2317"/>
      <c r="L142" s="2317"/>
      <c r="M142" s="2317"/>
      <c r="N142" s="2317"/>
      <c r="O142" s="2317"/>
      <c r="P142" s="2318">
        <v>24482</v>
      </c>
      <c r="Q142" s="2319"/>
      <c r="R142" s="2319"/>
      <c r="S142" s="2319"/>
      <c r="T142" s="2116">
        <f>ROUND(IPMT(($AA$3%+0.35%)/11,1,$D$219-$D$208+1,$P$220-(SUM($P$4:P141)))*-1,2)</f>
        <v>10335.81</v>
      </c>
      <c r="U142" s="2116"/>
      <c r="V142" s="2116"/>
      <c r="W142" s="2116"/>
      <c r="X142" s="783"/>
      <c r="Y142" s="782"/>
      <c r="Z142" s="781"/>
      <c r="AA142" s="783"/>
    </row>
    <row r="143" spans="1:27">
      <c r="A143" s="2112">
        <v>44</v>
      </c>
      <c r="B143" s="2313"/>
      <c r="C143" s="2313"/>
      <c r="D143" s="2317">
        <v>2024</v>
      </c>
      <c r="E143" s="2317"/>
      <c r="F143" s="2317"/>
      <c r="G143" s="2317"/>
      <c r="H143" s="2317" t="s">
        <v>313</v>
      </c>
      <c r="I143" s="2317"/>
      <c r="J143" s="2317"/>
      <c r="K143" s="2317"/>
      <c r="L143" s="2317"/>
      <c r="M143" s="2317"/>
      <c r="N143" s="2317"/>
      <c r="O143" s="2317"/>
      <c r="P143" s="2318">
        <v>24482</v>
      </c>
      <c r="Q143" s="2319"/>
      <c r="R143" s="2319"/>
      <c r="S143" s="2319"/>
      <c r="T143" s="2116">
        <f>ROUND(IPMT(($AA$3%+0.35%)/11,1,$D$219-$D$208+1,$P$220-(SUM($P$4:P142)))*-1,2)</f>
        <v>10192.26</v>
      </c>
      <c r="U143" s="2116"/>
      <c r="V143" s="2116"/>
      <c r="W143" s="2116"/>
      <c r="X143" s="783"/>
      <c r="Y143" s="782"/>
      <c r="Z143" s="781"/>
      <c r="AA143" s="783"/>
    </row>
    <row r="144" spans="1:27">
      <c r="A144" s="2112">
        <v>45</v>
      </c>
      <c r="B144" s="2313"/>
      <c r="C144" s="2313"/>
      <c r="D144" s="2317">
        <v>2024</v>
      </c>
      <c r="E144" s="2317"/>
      <c r="F144" s="2317"/>
      <c r="G144" s="2317"/>
      <c r="H144" s="2317" t="s">
        <v>314</v>
      </c>
      <c r="I144" s="2317"/>
      <c r="J144" s="2317"/>
      <c r="K144" s="2317"/>
      <c r="L144" s="2317"/>
      <c r="M144" s="2317"/>
      <c r="N144" s="2317"/>
      <c r="O144" s="2317"/>
      <c r="P144" s="2318">
        <v>24482</v>
      </c>
      <c r="Q144" s="2319"/>
      <c r="R144" s="2319"/>
      <c r="S144" s="2319"/>
      <c r="T144" s="2116">
        <f>ROUND(IPMT(($AA$3%+0.35%)/11,1,$D$219-$D$208+1,$P$220-(SUM($P$4:P143)))*-1,2)</f>
        <v>10048.709999999999</v>
      </c>
      <c r="U144" s="2116"/>
      <c r="V144" s="2116"/>
      <c r="W144" s="2116"/>
      <c r="X144" s="783"/>
      <c r="Y144" s="782"/>
      <c r="Z144" s="781"/>
      <c r="AA144" s="783"/>
    </row>
    <row r="145" spans="1:27">
      <c r="A145" s="2112">
        <v>46</v>
      </c>
      <c r="B145" s="2313"/>
      <c r="C145" s="2313"/>
      <c r="D145" s="2317">
        <v>2024</v>
      </c>
      <c r="E145" s="2317"/>
      <c r="F145" s="2317"/>
      <c r="G145" s="2317"/>
      <c r="H145" s="2317" t="s">
        <v>315</v>
      </c>
      <c r="I145" s="2317"/>
      <c r="J145" s="2317"/>
      <c r="K145" s="2317"/>
      <c r="L145" s="2317"/>
      <c r="M145" s="2317"/>
      <c r="N145" s="2317"/>
      <c r="O145" s="2317"/>
      <c r="P145" s="2318">
        <v>24482</v>
      </c>
      <c r="Q145" s="2319"/>
      <c r="R145" s="2319"/>
      <c r="S145" s="2319"/>
      <c r="T145" s="2116">
        <f>ROUND(IPMT(($AA$3%+0.35%)/11,1,$D$219-$D$208+1,$P$220-(SUM($P$4:P144)))*-1,2)</f>
        <v>9905.15</v>
      </c>
      <c r="U145" s="2116"/>
      <c r="V145" s="2116"/>
      <c r="W145" s="2116"/>
      <c r="X145" s="783"/>
      <c r="Y145" s="782"/>
      <c r="Z145" s="781"/>
      <c r="AA145" s="783"/>
    </row>
    <row r="146" spans="1:27">
      <c r="A146" s="2112">
        <v>47</v>
      </c>
      <c r="B146" s="2313"/>
      <c r="C146" s="2313"/>
      <c r="D146" s="2317">
        <v>2024</v>
      </c>
      <c r="E146" s="2317"/>
      <c r="F146" s="2317"/>
      <c r="G146" s="2317"/>
      <c r="H146" s="2317" t="s">
        <v>316</v>
      </c>
      <c r="I146" s="2317"/>
      <c r="J146" s="2317"/>
      <c r="K146" s="2317"/>
      <c r="L146" s="2317"/>
      <c r="M146" s="2317"/>
      <c r="N146" s="2317"/>
      <c r="O146" s="2317"/>
      <c r="P146" s="2318">
        <v>24482</v>
      </c>
      <c r="Q146" s="2319"/>
      <c r="R146" s="2319"/>
      <c r="S146" s="2319"/>
      <c r="T146" s="2116">
        <f>ROUND(IPMT(($AA$3%+0.35%)/11,1,$D$219-$D$208+1,$P$220-(SUM($P$4:P145)))*-1,2)</f>
        <v>9761.6</v>
      </c>
      <c r="U146" s="2116"/>
      <c r="V146" s="2116"/>
      <c r="W146" s="2116"/>
      <c r="X146" s="783"/>
      <c r="Y146" s="782"/>
      <c r="Z146" s="781"/>
      <c r="AA146" s="783"/>
    </row>
    <row r="147" spans="1:27">
      <c r="A147" s="2112">
        <v>48</v>
      </c>
      <c r="B147" s="2313"/>
      <c r="C147" s="2313"/>
      <c r="D147" s="2332">
        <v>2024</v>
      </c>
      <c r="E147" s="2332"/>
      <c r="F147" s="2332"/>
      <c r="G147" s="2332"/>
      <c r="H147" s="2332" t="s">
        <v>317</v>
      </c>
      <c r="I147" s="2332"/>
      <c r="J147" s="2332"/>
      <c r="K147" s="2332"/>
      <c r="L147" s="2332"/>
      <c r="M147" s="2332"/>
      <c r="N147" s="2332"/>
      <c r="O147" s="2332"/>
      <c r="P147" s="2318">
        <v>24482</v>
      </c>
      <c r="Q147" s="2319"/>
      <c r="R147" s="2319"/>
      <c r="S147" s="2319"/>
      <c r="T147" s="2111">
        <f>ROUND(IPMT(($AA$3%+0.35%)/11,1,$D$219-$D$208+1,$P$220-(SUM($P$4:P146)))*-1,2)</f>
        <v>9618.0499999999993</v>
      </c>
      <c r="U147" s="2111"/>
      <c r="V147" s="2111"/>
      <c r="W147" s="2111"/>
      <c r="X147" s="783"/>
      <c r="Y147" s="2324">
        <f>SUM(T136:W147)</f>
        <v>124891.09000000001</v>
      </c>
      <c r="Z147" s="2325"/>
      <c r="AA147" s="783"/>
    </row>
    <row r="148" spans="1:27">
      <c r="A148" s="2326">
        <v>38</v>
      </c>
      <c r="B148" s="2327"/>
      <c r="C148" s="2327"/>
      <c r="D148" s="2328">
        <f>D137+1</f>
        <v>2025</v>
      </c>
      <c r="E148" s="2328"/>
      <c r="F148" s="2328"/>
      <c r="G148" s="2328"/>
      <c r="H148" s="2328" t="s">
        <v>306</v>
      </c>
      <c r="I148" s="2328"/>
      <c r="J148" s="2328"/>
      <c r="K148" s="2328"/>
      <c r="L148" s="2328"/>
      <c r="M148" s="2328"/>
      <c r="N148" s="2328"/>
      <c r="O148" s="2328"/>
      <c r="P148" s="2318">
        <v>24482</v>
      </c>
      <c r="Q148" s="2319"/>
      <c r="R148" s="2319"/>
      <c r="S148" s="2319"/>
      <c r="T148" s="2331">
        <f>ROUND(IPMT(($AA$3%+0.35%)/11,1,$D$219-$D$208+1,$P$220-(SUM($P$4:P147)))*-1,2)</f>
        <v>9474.49</v>
      </c>
      <c r="U148" s="2331"/>
      <c r="V148" s="2331"/>
      <c r="W148" s="2331"/>
      <c r="X148" s="783"/>
      <c r="Y148" s="782"/>
      <c r="Z148" s="781"/>
      <c r="AA148" s="783"/>
    </row>
    <row r="149" spans="1:27">
      <c r="A149" s="2112">
        <v>38</v>
      </c>
      <c r="B149" s="2313"/>
      <c r="C149" s="2313"/>
      <c r="D149" s="2317">
        <v>2025</v>
      </c>
      <c r="E149" s="2317"/>
      <c r="F149" s="2317"/>
      <c r="G149" s="2317"/>
      <c r="H149" s="2317" t="s">
        <v>307</v>
      </c>
      <c r="I149" s="2317"/>
      <c r="J149" s="2317"/>
      <c r="K149" s="2317"/>
      <c r="L149" s="2317"/>
      <c r="M149" s="2317"/>
      <c r="N149" s="2317"/>
      <c r="O149" s="2317"/>
      <c r="P149" s="2318">
        <v>24482</v>
      </c>
      <c r="Q149" s="2319"/>
      <c r="R149" s="2319"/>
      <c r="S149" s="2319"/>
      <c r="T149" s="2116">
        <f>ROUND(IPMT(($AA$3%+0.35%)/11,1,$D$219-$D$208+1,$P$220-(SUM($P$4:P148)))*-1,2)</f>
        <v>9330.94</v>
      </c>
      <c r="U149" s="2116"/>
      <c r="V149" s="2116"/>
      <c r="W149" s="2116"/>
      <c r="X149" s="783"/>
      <c r="Y149" s="782"/>
      <c r="Z149" s="781"/>
      <c r="AA149" s="783"/>
    </row>
    <row r="150" spans="1:27">
      <c r="A150" s="2112">
        <v>39</v>
      </c>
      <c r="B150" s="2313"/>
      <c r="C150" s="2313"/>
      <c r="D150" s="2317">
        <v>2025</v>
      </c>
      <c r="E150" s="2317"/>
      <c r="F150" s="2317"/>
      <c r="G150" s="2317"/>
      <c r="H150" s="2317" t="s">
        <v>308</v>
      </c>
      <c r="I150" s="2317"/>
      <c r="J150" s="2317"/>
      <c r="K150" s="2317"/>
      <c r="L150" s="2317"/>
      <c r="M150" s="2317"/>
      <c r="N150" s="2317"/>
      <c r="O150" s="2317"/>
      <c r="P150" s="2318">
        <v>24482</v>
      </c>
      <c r="Q150" s="2319"/>
      <c r="R150" s="2319"/>
      <c r="S150" s="2319"/>
      <c r="T150" s="2116">
        <f>ROUND(IPMT(($AA$3%+0.35%)/11,1,$D$219-$D$208+1,$P$220-(SUM($P$4:P149)))*-1,2)</f>
        <v>9187.39</v>
      </c>
      <c r="U150" s="2116"/>
      <c r="V150" s="2116"/>
      <c r="W150" s="2116"/>
      <c r="X150" s="783"/>
      <c r="Y150" s="782"/>
      <c r="Z150" s="781"/>
      <c r="AA150" s="783"/>
    </row>
    <row r="151" spans="1:27">
      <c r="A151" s="2112">
        <v>40</v>
      </c>
      <c r="B151" s="2313"/>
      <c r="C151" s="2313"/>
      <c r="D151" s="2317">
        <v>2025</v>
      </c>
      <c r="E151" s="2317"/>
      <c r="F151" s="2317"/>
      <c r="G151" s="2317"/>
      <c r="H151" s="2317" t="s">
        <v>309</v>
      </c>
      <c r="I151" s="2317"/>
      <c r="J151" s="2317"/>
      <c r="K151" s="2317"/>
      <c r="L151" s="2317"/>
      <c r="M151" s="2317"/>
      <c r="N151" s="2317"/>
      <c r="O151" s="2317"/>
      <c r="P151" s="2318">
        <v>24482</v>
      </c>
      <c r="Q151" s="2319"/>
      <c r="R151" s="2319"/>
      <c r="S151" s="2319"/>
      <c r="T151" s="2116">
        <f>ROUND(IPMT(($AA$3%+0.35%)/11,1,$D$219-$D$208+1,$P$220-(SUM($P$4:P150)))*-1,2)</f>
        <v>9043.83</v>
      </c>
      <c r="U151" s="2116"/>
      <c r="V151" s="2116"/>
      <c r="W151" s="2116"/>
      <c r="X151" s="783"/>
      <c r="Y151" s="782"/>
      <c r="Z151" s="781"/>
      <c r="AA151" s="783"/>
    </row>
    <row r="152" spans="1:27">
      <c r="A152" s="2112">
        <v>41</v>
      </c>
      <c r="B152" s="2313"/>
      <c r="C152" s="2313"/>
      <c r="D152" s="2317">
        <v>2025</v>
      </c>
      <c r="E152" s="2317"/>
      <c r="F152" s="2317"/>
      <c r="G152" s="2317"/>
      <c r="H152" s="2317" t="s">
        <v>310</v>
      </c>
      <c r="I152" s="2317"/>
      <c r="J152" s="2317"/>
      <c r="K152" s="2317"/>
      <c r="L152" s="2317"/>
      <c r="M152" s="2317"/>
      <c r="N152" s="2317"/>
      <c r="O152" s="2317"/>
      <c r="P152" s="2318">
        <v>24482</v>
      </c>
      <c r="Q152" s="2319"/>
      <c r="R152" s="2319"/>
      <c r="S152" s="2319"/>
      <c r="T152" s="2116">
        <f>ROUND(IPMT(($AA$3%+0.35%)/11,1,$D$219-$D$208+1,$P$220-(SUM($P$4:P151)))*-1,2)</f>
        <v>8900.2800000000007</v>
      </c>
      <c r="U152" s="2116"/>
      <c r="V152" s="2116"/>
      <c r="W152" s="2116"/>
      <c r="X152" s="783"/>
      <c r="Y152" s="782"/>
      <c r="Z152" s="781"/>
      <c r="AA152" s="783"/>
    </row>
    <row r="153" spans="1:27">
      <c r="A153" s="2112">
        <v>42</v>
      </c>
      <c r="B153" s="2313"/>
      <c r="C153" s="2313"/>
      <c r="D153" s="2317">
        <v>2025</v>
      </c>
      <c r="E153" s="2317"/>
      <c r="F153" s="2317"/>
      <c r="G153" s="2317"/>
      <c r="H153" s="2317" t="s">
        <v>311</v>
      </c>
      <c r="I153" s="2317"/>
      <c r="J153" s="2317"/>
      <c r="K153" s="2317"/>
      <c r="L153" s="2317"/>
      <c r="M153" s="2317"/>
      <c r="N153" s="2317"/>
      <c r="O153" s="2317"/>
      <c r="P153" s="2318">
        <v>24482</v>
      </c>
      <c r="Q153" s="2319"/>
      <c r="R153" s="2319"/>
      <c r="S153" s="2319"/>
      <c r="T153" s="2116">
        <f>ROUND(IPMT(($AA$3%+0.35%)/11,1,$D$219-$D$208+1,$P$220-(SUM($P$4:P152)))*-1,2)</f>
        <v>8756.73</v>
      </c>
      <c r="U153" s="2116"/>
      <c r="V153" s="2116"/>
      <c r="W153" s="2116"/>
      <c r="X153" s="783"/>
      <c r="Y153" s="782"/>
      <c r="Z153" s="781"/>
      <c r="AA153" s="783"/>
    </row>
    <row r="154" spans="1:27">
      <c r="A154" s="2112">
        <v>43</v>
      </c>
      <c r="B154" s="2313"/>
      <c r="C154" s="2313"/>
      <c r="D154" s="2317">
        <v>2025</v>
      </c>
      <c r="E154" s="2317"/>
      <c r="F154" s="2317"/>
      <c r="G154" s="2317"/>
      <c r="H154" s="2317" t="s">
        <v>312</v>
      </c>
      <c r="I154" s="2317"/>
      <c r="J154" s="2317"/>
      <c r="K154" s="2317"/>
      <c r="L154" s="2317"/>
      <c r="M154" s="2317"/>
      <c r="N154" s="2317"/>
      <c r="O154" s="2317"/>
      <c r="P154" s="2318">
        <v>24482</v>
      </c>
      <c r="Q154" s="2319"/>
      <c r="R154" s="2319"/>
      <c r="S154" s="2319"/>
      <c r="T154" s="2116">
        <f>ROUND(IPMT(($AA$3%+0.35%)/11,1,$D$219-$D$208+1,$P$220-(SUM($P$4:P153)))*-1,2)</f>
        <v>8613.17</v>
      </c>
      <c r="U154" s="2116"/>
      <c r="V154" s="2116"/>
      <c r="W154" s="2116"/>
      <c r="X154" s="783"/>
      <c r="Y154" s="782"/>
      <c r="Z154" s="781"/>
      <c r="AA154" s="783"/>
    </row>
    <row r="155" spans="1:27">
      <c r="A155" s="2112">
        <v>44</v>
      </c>
      <c r="B155" s="2313"/>
      <c r="C155" s="2313"/>
      <c r="D155" s="2317">
        <v>2025</v>
      </c>
      <c r="E155" s="2317"/>
      <c r="F155" s="2317"/>
      <c r="G155" s="2317"/>
      <c r="H155" s="2317" t="s">
        <v>313</v>
      </c>
      <c r="I155" s="2317"/>
      <c r="J155" s="2317"/>
      <c r="K155" s="2317"/>
      <c r="L155" s="2317"/>
      <c r="M155" s="2317"/>
      <c r="N155" s="2317"/>
      <c r="O155" s="2317"/>
      <c r="P155" s="2318">
        <v>24482</v>
      </c>
      <c r="Q155" s="2319"/>
      <c r="R155" s="2319"/>
      <c r="S155" s="2319"/>
      <c r="T155" s="2116">
        <f>ROUND(IPMT(($AA$3%+0.35%)/11,1,$D$219-$D$208+1,$P$220-(SUM($P$4:P154)))*-1,2)</f>
        <v>8469.6200000000008</v>
      </c>
      <c r="U155" s="2116"/>
      <c r="V155" s="2116"/>
      <c r="W155" s="2116"/>
      <c r="X155" s="783"/>
      <c r="Y155" s="782"/>
      <c r="Z155" s="781"/>
      <c r="AA155" s="783"/>
    </row>
    <row r="156" spans="1:27">
      <c r="A156" s="2112">
        <v>45</v>
      </c>
      <c r="B156" s="2313"/>
      <c r="C156" s="2313"/>
      <c r="D156" s="2317">
        <v>2025</v>
      </c>
      <c r="E156" s="2317"/>
      <c r="F156" s="2317"/>
      <c r="G156" s="2317"/>
      <c r="H156" s="2317" t="s">
        <v>314</v>
      </c>
      <c r="I156" s="2317"/>
      <c r="J156" s="2317"/>
      <c r="K156" s="2317"/>
      <c r="L156" s="2317"/>
      <c r="M156" s="2317"/>
      <c r="N156" s="2317"/>
      <c r="O156" s="2317"/>
      <c r="P156" s="2318">
        <v>24482</v>
      </c>
      <c r="Q156" s="2319"/>
      <c r="R156" s="2319"/>
      <c r="S156" s="2319"/>
      <c r="T156" s="2116">
        <f>ROUND(IPMT(($AA$3%+0.35%)/11,1,$D$219-$D$208+1,$P$220-(SUM($P$4:P155)))*-1,2)</f>
        <v>8326.06</v>
      </c>
      <c r="U156" s="2116"/>
      <c r="V156" s="2116"/>
      <c r="W156" s="2116"/>
      <c r="X156" s="783"/>
      <c r="Y156" s="782"/>
      <c r="Z156" s="781"/>
      <c r="AA156" s="783"/>
    </row>
    <row r="157" spans="1:27">
      <c r="A157" s="2112">
        <v>46</v>
      </c>
      <c r="B157" s="2313"/>
      <c r="C157" s="2313"/>
      <c r="D157" s="2317">
        <v>2025</v>
      </c>
      <c r="E157" s="2317"/>
      <c r="F157" s="2317"/>
      <c r="G157" s="2317"/>
      <c r="H157" s="2317" t="s">
        <v>315</v>
      </c>
      <c r="I157" s="2317"/>
      <c r="J157" s="2317"/>
      <c r="K157" s="2317"/>
      <c r="L157" s="2317"/>
      <c r="M157" s="2317"/>
      <c r="N157" s="2317"/>
      <c r="O157" s="2317"/>
      <c r="P157" s="2318">
        <v>24482</v>
      </c>
      <c r="Q157" s="2319"/>
      <c r="R157" s="2319"/>
      <c r="S157" s="2319"/>
      <c r="T157" s="2116">
        <f>ROUND(IPMT(($AA$3%+0.35%)/11,1,$D$219-$D$208+1,$P$220-(SUM($P$4:P156)))*-1,2)</f>
        <v>8182.51</v>
      </c>
      <c r="U157" s="2116"/>
      <c r="V157" s="2116"/>
      <c r="W157" s="2116"/>
      <c r="X157" s="783"/>
      <c r="Y157" s="782"/>
      <c r="Z157" s="781"/>
      <c r="AA157" s="783"/>
    </row>
    <row r="158" spans="1:27">
      <c r="A158" s="2112">
        <v>47</v>
      </c>
      <c r="B158" s="2313"/>
      <c r="C158" s="2313"/>
      <c r="D158" s="2317">
        <v>2025</v>
      </c>
      <c r="E158" s="2317"/>
      <c r="F158" s="2317"/>
      <c r="G158" s="2317"/>
      <c r="H158" s="2317" t="s">
        <v>316</v>
      </c>
      <c r="I158" s="2317"/>
      <c r="J158" s="2317"/>
      <c r="K158" s="2317"/>
      <c r="L158" s="2317"/>
      <c r="M158" s="2317"/>
      <c r="N158" s="2317"/>
      <c r="O158" s="2317"/>
      <c r="P158" s="2318">
        <v>24482</v>
      </c>
      <c r="Q158" s="2319"/>
      <c r="R158" s="2319"/>
      <c r="S158" s="2319"/>
      <c r="T158" s="2116">
        <f>ROUND(IPMT(($AA$3%+0.35%)/11,1,$D$219-$D$208+1,$P$220-(SUM($P$4:P157)))*-1,2)</f>
        <v>8038.96</v>
      </c>
      <c r="U158" s="2116"/>
      <c r="V158" s="2116"/>
      <c r="W158" s="2116"/>
      <c r="X158" s="783"/>
      <c r="Y158" s="782"/>
      <c r="Z158" s="781"/>
      <c r="AA158" s="783"/>
    </row>
    <row r="159" spans="1:27">
      <c r="A159" s="2112">
        <v>48</v>
      </c>
      <c r="B159" s="2313"/>
      <c r="C159" s="2313"/>
      <c r="D159" s="2317">
        <v>2025</v>
      </c>
      <c r="E159" s="2317"/>
      <c r="F159" s="2317"/>
      <c r="G159" s="2317"/>
      <c r="H159" s="2332" t="s">
        <v>317</v>
      </c>
      <c r="I159" s="2332"/>
      <c r="J159" s="2332"/>
      <c r="K159" s="2332"/>
      <c r="L159" s="2332"/>
      <c r="M159" s="2332"/>
      <c r="N159" s="2332"/>
      <c r="O159" s="2332"/>
      <c r="P159" s="2318">
        <v>24482</v>
      </c>
      <c r="Q159" s="2319"/>
      <c r="R159" s="2319"/>
      <c r="S159" s="2319"/>
      <c r="T159" s="2111">
        <f>ROUND(IPMT(($AA$3%+0.35%)/11,1,$D$219-$D$208+1,$P$220-(SUM($P$4:P158)))*-1,2)</f>
        <v>7895.4</v>
      </c>
      <c r="U159" s="2111"/>
      <c r="V159" s="2111"/>
      <c r="W159" s="2111"/>
      <c r="X159" s="783"/>
      <c r="Y159" s="2324">
        <f>SUM(T148:W159)</f>
        <v>104219.37999999999</v>
      </c>
      <c r="Z159" s="2325"/>
      <c r="AA159" s="783"/>
    </row>
    <row r="160" spans="1:27">
      <c r="A160" s="2326">
        <v>37</v>
      </c>
      <c r="B160" s="2327"/>
      <c r="C160" s="2327"/>
      <c r="D160" s="2328">
        <v>2026</v>
      </c>
      <c r="E160" s="2328"/>
      <c r="F160" s="2328"/>
      <c r="G160" s="2328"/>
      <c r="H160" s="2328" t="s">
        <v>306</v>
      </c>
      <c r="I160" s="2328"/>
      <c r="J160" s="2328"/>
      <c r="K160" s="2328"/>
      <c r="L160" s="2328"/>
      <c r="M160" s="2328"/>
      <c r="N160" s="2328"/>
      <c r="O160" s="2328"/>
      <c r="P160" s="2318">
        <v>24482</v>
      </c>
      <c r="Q160" s="2319"/>
      <c r="R160" s="2319"/>
      <c r="S160" s="2319"/>
      <c r="T160" s="2331">
        <f>ROUND(IPMT(($AA$3%+0.35%)/11,1,$D$219-$D$88+1,$P$220-(SUM($P$4:P159)))*-1,2)</f>
        <v>7751.85</v>
      </c>
      <c r="U160" s="2331"/>
      <c r="V160" s="2331"/>
      <c r="W160" s="2331"/>
      <c r="X160" s="783"/>
      <c r="Y160" s="782"/>
      <c r="Z160" s="781"/>
      <c r="AA160" s="783"/>
    </row>
    <row r="161" spans="1:27">
      <c r="A161" s="2112">
        <v>38</v>
      </c>
      <c r="B161" s="2313"/>
      <c r="C161" s="2313"/>
      <c r="D161" s="2333">
        <v>2026</v>
      </c>
      <c r="E161" s="2333"/>
      <c r="F161" s="2333"/>
      <c r="G161" s="2333"/>
      <c r="H161" s="2317" t="s">
        <v>307</v>
      </c>
      <c r="I161" s="2317"/>
      <c r="J161" s="2317"/>
      <c r="K161" s="2317"/>
      <c r="L161" s="2317"/>
      <c r="M161" s="2317"/>
      <c r="N161" s="2317"/>
      <c r="O161" s="2317"/>
      <c r="P161" s="2318">
        <v>24482</v>
      </c>
      <c r="Q161" s="2319"/>
      <c r="R161" s="2319"/>
      <c r="S161" s="2319"/>
      <c r="T161" s="2116">
        <f>ROUND(IPMT(($AA$3%+0.35%)/11,1,$D$219-$D$208+1,$P$220-(SUM($P$4:P160)))*-1,2)</f>
        <v>7608.3</v>
      </c>
      <c r="U161" s="2116"/>
      <c r="V161" s="2116"/>
      <c r="W161" s="2116"/>
      <c r="X161" s="783"/>
      <c r="Y161" s="782"/>
      <c r="Z161" s="781"/>
      <c r="AA161" s="783"/>
    </row>
    <row r="162" spans="1:27">
      <c r="A162" s="2112">
        <v>39</v>
      </c>
      <c r="B162" s="2313"/>
      <c r="C162" s="2313"/>
      <c r="D162" s="2333">
        <v>2026</v>
      </c>
      <c r="E162" s="2333"/>
      <c r="F162" s="2333"/>
      <c r="G162" s="2333"/>
      <c r="H162" s="2317" t="s">
        <v>308</v>
      </c>
      <c r="I162" s="2317"/>
      <c r="J162" s="2317"/>
      <c r="K162" s="2317"/>
      <c r="L162" s="2317"/>
      <c r="M162" s="2317"/>
      <c r="N162" s="2317"/>
      <c r="O162" s="2317"/>
      <c r="P162" s="2318">
        <v>24482</v>
      </c>
      <c r="Q162" s="2319"/>
      <c r="R162" s="2319"/>
      <c r="S162" s="2319"/>
      <c r="T162" s="2116">
        <f>ROUND(IPMT(($AA$3%+0.35%)/11,1,$D$219-$D$208+1,$P$220-(SUM($P$4:P161)))*-1,2)</f>
        <v>7464.74</v>
      </c>
      <c r="U162" s="2116"/>
      <c r="V162" s="2116"/>
      <c r="W162" s="2116"/>
      <c r="X162" s="783"/>
      <c r="Y162" s="782"/>
      <c r="Z162" s="781"/>
      <c r="AA162" s="783"/>
    </row>
    <row r="163" spans="1:27">
      <c r="A163" s="2112">
        <v>40</v>
      </c>
      <c r="B163" s="2313"/>
      <c r="C163" s="2313"/>
      <c r="D163" s="2333">
        <v>2026</v>
      </c>
      <c r="E163" s="2333"/>
      <c r="F163" s="2333"/>
      <c r="G163" s="2333"/>
      <c r="H163" s="2317" t="s">
        <v>309</v>
      </c>
      <c r="I163" s="2317"/>
      <c r="J163" s="2317"/>
      <c r="K163" s="2317"/>
      <c r="L163" s="2317"/>
      <c r="M163" s="2317"/>
      <c r="N163" s="2317"/>
      <c r="O163" s="2317"/>
      <c r="P163" s="2318">
        <v>24482</v>
      </c>
      <c r="Q163" s="2319"/>
      <c r="R163" s="2319"/>
      <c r="S163" s="2319"/>
      <c r="T163" s="2116">
        <f>ROUND(IPMT(($AA$3%+0.35%)/11,1,$D$219-$D$208+1,$P$220-(SUM($P$4:P162)))*-1,2)</f>
        <v>7321.19</v>
      </c>
      <c r="U163" s="2116"/>
      <c r="V163" s="2116"/>
      <c r="W163" s="2116"/>
      <c r="X163" s="783"/>
      <c r="Y163" s="782"/>
      <c r="Z163" s="781"/>
      <c r="AA163" s="783"/>
    </row>
    <row r="164" spans="1:27">
      <c r="A164" s="2112">
        <v>41</v>
      </c>
      <c r="B164" s="2313"/>
      <c r="C164" s="2313"/>
      <c r="D164" s="2333">
        <v>2026</v>
      </c>
      <c r="E164" s="2333"/>
      <c r="F164" s="2333"/>
      <c r="G164" s="2333"/>
      <c r="H164" s="2317" t="s">
        <v>310</v>
      </c>
      <c r="I164" s="2317"/>
      <c r="J164" s="2317"/>
      <c r="K164" s="2317"/>
      <c r="L164" s="2317"/>
      <c r="M164" s="2317"/>
      <c r="N164" s="2317"/>
      <c r="O164" s="2317"/>
      <c r="P164" s="2318">
        <v>24482</v>
      </c>
      <c r="Q164" s="2319"/>
      <c r="R164" s="2319"/>
      <c r="S164" s="2319"/>
      <c r="T164" s="2116">
        <f>ROUND(IPMT(($AA$3%+0.35%)/11,1,$D$219-$D$208+1,$P$220-(SUM($P$4:P163)))*-1,2)</f>
        <v>7177.64</v>
      </c>
      <c r="U164" s="2116"/>
      <c r="V164" s="2116"/>
      <c r="W164" s="2116"/>
      <c r="X164" s="783"/>
      <c r="Y164" s="782"/>
      <c r="Z164" s="781"/>
      <c r="AA164" s="783"/>
    </row>
    <row r="165" spans="1:27">
      <c r="A165" s="2112">
        <v>42</v>
      </c>
      <c r="B165" s="2313"/>
      <c r="C165" s="2313"/>
      <c r="D165" s="2333">
        <v>2026</v>
      </c>
      <c r="E165" s="2333"/>
      <c r="F165" s="2333"/>
      <c r="G165" s="2333"/>
      <c r="H165" s="2317" t="s">
        <v>311</v>
      </c>
      <c r="I165" s="2317"/>
      <c r="J165" s="2317"/>
      <c r="K165" s="2317"/>
      <c r="L165" s="2317"/>
      <c r="M165" s="2317"/>
      <c r="N165" s="2317"/>
      <c r="O165" s="2317"/>
      <c r="P165" s="2318">
        <v>24482</v>
      </c>
      <c r="Q165" s="2319"/>
      <c r="R165" s="2319"/>
      <c r="S165" s="2319"/>
      <c r="T165" s="2116">
        <f>ROUND(IPMT(($AA$3%+0.35%)/11,1,$D$219-$D$208+1,$P$220-(SUM($P$4:P164)))*-1,2)</f>
        <v>7034.08</v>
      </c>
      <c r="U165" s="2116"/>
      <c r="V165" s="2116"/>
      <c r="W165" s="2116"/>
      <c r="X165" s="783"/>
      <c r="Y165" s="782"/>
      <c r="Z165" s="781"/>
      <c r="AA165" s="783"/>
    </row>
    <row r="166" spans="1:27">
      <c r="A166" s="2112">
        <v>43</v>
      </c>
      <c r="B166" s="2313"/>
      <c r="C166" s="2313"/>
      <c r="D166" s="2333">
        <v>2026</v>
      </c>
      <c r="E166" s="2333"/>
      <c r="F166" s="2333"/>
      <c r="G166" s="2333"/>
      <c r="H166" s="2317" t="s">
        <v>312</v>
      </c>
      <c r="I166" s="2317"/>
      <c r="J166" s="2317"/>
      <c r="K166" s="2317"/>
      <c r="L166" s="2317"/>
      <c r="M166" s="2317"/>
      <c r="N166" s="2317"/>
      <c r="O166" s="2317"/>
      <c r="P166" s="2318">
        <v>24482</v>
      </c>
      <c r="Q166" s="2319"/>
      <c r="R166" s="2319"/>
      <c r="S166" s="2319"/>
      <c r="T166" s="2116">
        <f>ROUND(IPMT(($AA$3%+0.35%)/11,1,$D$219-$D$208+1,$P$220-(SUM($P$4:P165)))*-1,2)</f>
        <v>6890.53</v>
      </c>
      <c r="U166" s="2116"/>
      <c r="V166" s="2116"/>
      <c r="W166" s="2116"/>
      <c r="X166" s="783"/>
      <c r="Y166" s="782"/>
      <c r="Z166" s="781"/>
      <c r="AA166" s="783"/>
    </row>
    <row r="167" spans="1:27">
      <c r="A167" s="2112">
        <v>44</v>
      </c>
      <c r="B167" s="2313"/>
      <c r="C167" s="2313"/>
      <c r="D167" s="2333">
        <v>2026</v>
      </c>
      <c r="E167" s="2333"/>
      <c r="F167" s="2333"/>
      <c r="G167" s="2333"/>
      <c r="H167" s="2317" t="s">
        <v>313</v>
      </c>
      <c r="I167" s="2317"/>
      <c r="J167" s="2317"/>
      <c r="K167" s="2317"/>
      <c r="L167" s="2317"/>
      <c r="M167" s="2317"/>
      <c r="N167" s="2317"/>
      <c r="O167" s="2317"/>
      <c r="P167" s="2318">
        <v>24482</v>
      </c>
      <c r="Q167" s="2319"/>
      <c r="R167" s="2319"/>
      <c r="S167" s="2319"/>
      <c r="T167" s="2116">
        <f>ROUND(IPMT(($AA$3%+0.35%)/11,1,$D$219-$D$208+1,$P$220-(SUM($P$4:P166)))*-1,2)</f>
        <v>6746.98</v>
      </c>
      <c r="U167" s="2116"/>
      <c r="V167" s="2116"/>
      <c r="W167" s="2116"/>
      <c r="X167" s="783"/>
      <c r="Y167" s="782"/>
      <c r="Z167" s="781"/>
      <c r="AA167" s="783"/>
    </row>
    <row r="168" spans="1:27">
      <c r="A168" s="2112">
        <v>45</v>
      </c>
      <c r="B168" s="2313"/>
      <c r="C168" s="2313"/>
      <c r="D168" s="2333">
        <v>2026</v>
      </c>
      <c r="E168" s="2333"/>
      <c r="F168" s="2333"/>
      <c r="G168" s="2333"/>
      <c r="H168" s="2317" t="s">
        <v>314</v>
      </c>
      <c r="I168" s="2317"/>
      <c r="J168" s="2317"/>
      <c r="K168" s="2317"/>
      <c r="L168" s="2317"/>
      <c r="M168" s="2317"/>
      <c r="N168" s="2317"/>
      <c r="O168" s="2317"/>
      <c r="P168" s="2318">
        <v>24482</v>
      </c>
      <c r="Q168" s="2319"/>
      <c r="R168" s="2319"/>
      <c r="S168" s="2319"/>
      <c r="T168" s="2116">
        <f>ROUND(IPMT(($AA$3%+0.35%)/11,1,$D$219-$D$208+1,$P$220-(SUM($P$4:P167)))*-1,2)</f>
        <v>6603.42</v>
      </c>
      <c r="U168" s="2116"/>
      <c r="V168" s="2116"/>
      <c r="W168" s="2116"/>
      <c r="X168" s="783"/>
      <c r="Y168" s="782"/>
      <c r="Z168" s="781"/>
      <c r="AA168" s="783"/>
    </row>
    <row r="169" spans="1:27">
      <c r="A169" s="2112">
        <v>46</v>
      </c>
      <c r="B169" s="2313"/>
      <c r="C169" s="2313"/>
      <c r="D169" s="2333">
        <v>2026</v>
      </c>
      <c r="E169" s="2333"/>
      <c r="F169" s="2333"/>
      <c r="G169" s="2333"/>
      <c r="H169" s="2317" t="s">
        <v>315</v>
      </c>
      <c r="I169" s="2317"/>
      <c r="J169" s="2317"/>
      <c r="K169" s="2317"/>
      <c r="L169" s="2317"/>
      <c r="M169" s="2317"/>
      <c r="N169" s="2317"/>
      <c r="O169" s="2317"/>
      <c r="P169" s="2318">
        <v>24482</v>
      </c>
      <c r="Q169" s="2319"/>
      <c r="R169" s="2319"/>
      <c r="S169" s="2319"/>
      <c r="T169" s="2116">
        <f>ROUND(IPMT(($AA$3%+0.35%)/11,1,$D$219-$D$208+1,$P$220-(SUM($P$4:P168)))*-1,2)</f>
        <v>6459.87</v>
      </c>
      <c r="U169" s="2116"/>
      <c r="V169" s="2116"/>
      <c r="W169" s="2116"/>
      <c r="X169" s="783"/>
      <c r="Y169" s="782"/>
      <c r="Z169" s="781"/>
      <c r="AA169" s="783"/>
    </row>
    <row r="170" spans="1:27">
      <c r="A170" s="2112">
        <v>47</v>
      </c>
      <c r="B170" s="2313"/>
      <c r="C170" s="2313"/>
      <c r="D170" s="2333">
        <v>2026</v>
      </c>
      <c r="E170" s="2333"/>
      <c r="F170" s="2333"/>
      <c r="G170" s="2333"/>
      <c r="H170" s="2317" t="s">
        <v>316</v>
      </c>
      <c r="I170" s="2317"/>
      <c r="J170" s="2317"/>
      <c r="K170" s="2317"/>
      <c r="L170" s="2317"/>
      <c r="M170" s="2317"/>
      <c r="N170" s="2317"/>
      <c r="O170" s="2317"/>
      <c r="P170" s="2318">
        <v>24482</v>
      </c>
      <c r="Q170" s="2319"/>
      <c r="R170" s="2319"/>
      <c r="S170" s="2319"/>
      <c r="T170" s="2116">
        <f>ROUND(IPMT(($AA$3%+0.35%)/11,1,$D$219-$D$208+1,$P$220-(SUM($P$4:P169)))*-1,2)</f>
        <v>6316.31</v>
      </c>
      <c r="U170" s="2116"/>
      <c r="V170" s="2116"/>
      <c r="W170" s="2116"/>
      <c r="X170" s="783"/>
      <c r="Y170" s="782"/>
      <c r="Z170" s="781"/>
      <c r="AA170" s="783"/>
    </row>
    <row r="171" spans="1:27">
      <c r="A171" s="2112">
        <v>48</v>
      </c>
      <c r="B171" s="2313"/>
      <c r="C171" s="2313"/>
      <c r="D171" s="2333">
        <v>2026</v>
      </c>
      <c r="E171" s="2333"/>
      <c r="F171" s="2333"/>
      <c r="G171" s="2333"/>
      <c r="H171" s="2332" t="s">
        <v>317</v>
      </c>
      <c r="I171" s="2332"/>
      <c r="J171" s="2332"/>
      <c r="K171" s="2332"/>
      <c r="L171" s="2332"/>
      <c r="M171" s="2332"/>
      <c r="N171" s="2332"/>
      <c r="O171" s="2332"/>
      <c r="P171" s="2318">
        <v>24482</v>
      </c>
      <c r="Q171" s="2319"/>
      <c r="R171" s="2319"/>
      <c r="S171" s="2319"/>
      <c r="T171" s="2111">
        <f>ROUND(IPMT(($AA$3%+0.35%)/11,1,$D$219-$D$208+1,$P$220-(SUM($P$4:P170)))*-1,2)</f>
        <v>6172.76</v>
      </c>
      <c r="U171" s="2111"/>
      <c r="V171" s="2111"/>
      <c r="W171" s="2111"/>
      <c r="X171" s="783"/>
      <c r="Y171" s="2324">
        <f>SUM(T160:W171)</f>
        <v>83547.669999999984</v>
      </c>
      <c r="Z171" s="2325"/>
      <c r="AA171" s="783"/>
    </row>
    <row r="172" spans="1:27">
      <c r="A172" s="2326">
        <v>38</v>
      </c>
      <c r="B172" s="2327"/>
      <c r="C172" s="2327"/>
      <c r="D172" s="2328">
        <v>2027</v>
      </c>
      <c r="E172" s="2328"/>
      <c r="F172" s="2328"/>
      <c r="G172" s="2328"/>
      <c r="H172" s="2328" t="s">
        <v>306</v>
      </c>
      <c r="I172" s="2328"/>
      <c r="J172" s="2328"/>
      <c r="K172" s="2328"/>
      <c r="L172" s="2328"/>
      <c r="M172" s="2328"/>
      <c r="N172" s="2328"/>
      <c r="O172" s="2328"/>
      <c r="P172" s="2318">
        <v>24482</v>
      </c>
      <c r="Q172" s="2319"/>
      <c r="R172" s="2319"/>
      <c r="S172" s="2319"/>
      <c r="T172" s="2331">
        <f>ROUND(IPMT(($AA$3%+0.35%)/11,1,$D$219-$D$208+1,$P$220-(SUM($P$4:P170)))*-1,2)</f>
        <v>6172.76</v>
      </c>
      <c r="U172" s="2331"/>
      <c r="V172" s="2331"/>
      <c r="W172" s="2331"/>
      <c r="X172" s="783"/>
      <c r="Y172" s="782"/>
      <c r="Z172" s="781"/>
      <c r="AA172" s="783"/>
    </row>
    <row r="173" spans="1:27">
      <c r="A173" s="2112">
        <v>38</v>
      </c>
      <c r="B173" s="2313"/>
      <c r="C173" s="2313"/>
      <c r="D173" s="2317">
        <v>2027</v>
      </c>
      <c r="E173" s="2317"/>
      <c r="F173" s="2317"/>
      <c r="G173" s="2317"/>
      <c r="H173" s="2317" t="s">
        <v>307</v>
      </c>
      <c r="I173" s="2317"/>
      <c r="J173" s="2317"/>
      <c r="K173" s="2317"/>
      <c r="L173" s="2317"/>
      <c r="M173" s="2317"/>
      <c r="N173" s="2317"/>
      <c r="O173" s="2317"/>
      <c r="P173" s="2318">
        <v>24482</v>
      </c>
      <c r="Q173" s="2319"/>
      <c r="R173" s="2319"/>
      <c r="S173" s="2319"/>
      <c r="T173" s="2116">
        <f>ROUND(IPMT(($AA$3%+0.35%)/11,1,$D$219-$D$208+1,$P$220-(SUM($P$4:P171)))*-1,2)</f>
        <v>6029.21</v>
      </c>
      <c r="U173" s="2116"/>
      <c r="V173" s="2116"/>
      <c r="W173" s="2116"/>
      <c r="X173" s="783"/>
      <c r="Y173" s="782"/>
      <c r="Z173" s="781"/>
      <c r="AA173" s="783"/>
    </row>
    <row r="174" spans="1:27">
      <c r="A174" s="2112">
        <v>39</v>
      </c>
      <c r="B174" s="2313"/>
      <c r="C174" s="2313"/>
      <c r="D174" s="2317">
        <v>2027</v>
      </c>
      <c r="E174" s="2317"/>
      <c r="F174" s="2317"/>
      <c r="G174" s="2317"/>
      <c r="H174" s="2317" t="s">
        <v>308</v>
      </c>
      <c r="I174" s="2317"/>
      <c r="J174" s="2317"/>
      <c r="K174" s="2317"/>
      <c r="L174" s="2317"/>
      <c r="M174" s="2317"/>
      <c r="N174" s="2317"/>
      <c r="O174" s="2317"/>
      <c r="P174" s="2318">
        <v>24482</v>
      </c>
      <c r="Q174" s="2319"/>
      <c r="R174" s="2319"/>
      <c r="S174" s="2319"/>
      <c r="T174" s="2116">
        <f>ROUND(IPMT(($AA$3%+0.35%)/11,1,$D$219-$D$208+1,$P$220-(SUM($P$4:P173)))*-1,2)</f>
        <v>5742.1</v>
      </c>
      <c r="U174" s="2116"/>
      <c r="V174" s="2116"/>
      <c r="W174" s="2116"/>
      <c r="X174" s="783"/>
      <c r="Y174" s="782"/>
      <c r="Z174" s="781"/>
      <c r="AA174" s="783"/>
    </row>
    <row r="175" spans="1:27">
      <c r="A175" s="2112">
        <v>40</v>
      </c>
      <c r="B175" s="2313"/>
      <c r="C175" s="2313"/>
      <c r="D175" s="2317">
        <v>2027</v>
      </c>
      <c r="E175" s="2317"/>
      <c r="F175" s="2317"/>
      <c r="G175" s="2317"/>
      <c r="H175" s="2317" t="s">
        <v>309</v>
      </c>
      <c r="I175" s="2317"/>
      <c r="J175" s="2317"/>
      <c r="K175" s="2317"/>
      <c r="L175" s="2317"/>
      <c r="M175" s="2317"/>
      <c r="N175" s="2317"/>
      <c r="O175" s="2317"/>
      <c r="P175" s="2318">
        <v>24482</v>
      </c>
      <c r="Q175" s="2319"/>
      <c r="R175" s="2319"/>
      <c r="S175" s="2319"/>
      <c r="T175" s="2116">
        <f>ROUND(IPMT(($AA$3%+0.35%)/11,1,$D$219-$D$208+1,$P$220-(SUM($P$4:P174)))*-1,2)</f>
        <v>5598.55</v>
      </c>
      <c r="U175" s="2116"/>
      <c r="V175" s="2116"/>
      <c r="W175" s="2116"/>
      <c r="X175" s="783"/>
      <c r="Y175" s="782"/>
      <c r="Z175" s="781"/>
      <c r="AA175" s="783"/>
    </row>
    <row r="176" spans="1:27">
      <c r="A176" s="2112">
        <v>41</v>
      </c>
      <c r="B176" s="2313"/>
      <c r="C176" s="2313"/>
      <c r="D176" s="2317">
        <v>2027</v>
      </c>
      <c r="E176" s="2317"/>
      <c r="F176" s="2317"/>
      <c r="G176" s="2317"/>
      <c r="H176" s="2317" t="s">
        <v>310</v>
      </c>
      <c r="I176" s="2317"/>
      <c r="J176" s="2317"/>
      <c r="K176" s="2317"/>
      <c r="L176" s="2317"/>
      <c r="M176" s="2317"/>
      <c r="N176" s="2317"/>
      <c r="O176" s="2317"/>
      <c r="P176" s="2318">
        <v>24482</v>
      </c>
      <c r="Q176" s="2319"/>
      <c r="R176" s="2319"/>
      <c r="S176" s="2319"/>
      <c r="T176" s="2116">
        <f>ROUND(IPMT(($AA$3%+0.35%)/11,1,$D$219-$D$208+1,$P$220-(SUM($P$4:P175)))*-1,2)</f>
        <v>5454.99</v>
      </c>
      <c r="U176" s="2116"/>
      <c r="V176" s="2116"/>
      <c r="W176" s="2116"/>
      <c r="X176" s="783"/>
      <c r="Y176" s="782"/>
      <c r="Z176" s="781"/>
      <c r="AA176" s="783"/>
    </row>
    <row r="177" spans="1:27">
      <c r="A177" s="2112">
        <v>42</v>
      </c>
      <c r="B177" s="2313"/>
      <c r="C177" s="2313"/>
      <c r="D177" s="2317">
        <v>2027</v>
      </c>
      <c r="E177" s="2317"/>
      <c r="F177" s="2317"/>
      <c r="G177" s="2317"/>
      <c r="H177" s="2317" t="s">
        <v>311</v>
      </c>
      <c r="I177" s="2317"/>
      <c r="J177" s="2317"/>
      <c r="K177" s="2317"/>
      <c r="L177" s="2317"/>
      <c r="M177" s="2317"/>
      <c r="N177" s="2317"/>
      <c r="O177" s="2317"/>
      <c r="P177" s="2318">
        <v>24482</v>
      </c>
      <c r="Q177" s="2319"/>
      <c r="R177" s="2319"/>
      <c r="S177" s="2319"/>
      <c r="T177" s="2116">
        <f>ROUND(IPMT(($AA$3%+0.35%)/11,1,$D$219-$D$208+1,$P$220-(SUM($P$4:P176)))*-1,2)</f>
        <v>5311.44</v>
      </c>
      <c r="U177" s="2116"/>
      <c r="V177" s="2116"/>
      <c r="W177" s="2116"/>
      <c r="X177" s="783"/>
      <c r="Y177" s="782"/>
      <c r="Z177" s="781"/>
      <c r="AA177" s="783"/>
    </row>
    <row r="178" spans="1:27">
      <c r="A178" s="2112">
        <v>43</v>
      </c>
      <c r="B178" s="2313"/>
      <c r="C178" s="2313"/>
      <c r="D178" s="2317">
        <v>2027</v>
      </c>
      <c r="E178" s="2317"/>
      <c r="F178" s="2317"/>
      <c r="G178" s="2317"/>
      <c r="H178" s="2317" t="s">
        <v>312</v>
      </c>
      <c r="I178" s="2317"/>
      <c r="J178" s="2317"/>
      <c r="K178" s="2317"/>
      <c r="L178" s="2317"/>
      <c r="M178" s="2317"/>
      <c r="N178" s="2317"/>
      <c r="O178" s="2317"/>
      <c r="P178" s="2318">
        <v>24482</v>
      </c>
      <c r="Q178" s="2319"/>
      <c r="R178" s="2319"/>
      <c r="S178" s="2319"/>
      <c r="T178" s="2116">
        <f>ROUND(IPMT(($AA$3%+0.35%)/11,1,$D$219-$D$208+1,$P$220-(SUM($P$4:P177)))*-1,2)</f>
        <v>5167.8900000000003</v>
      </c>
      <c r="U178" s="2116"/>
      <c r="V178" s="2116"/>
      <c r="W178" s="2116"/>
      <c r="X178" s="783"/>
      <c r="Y178" s="782"/>
      <c r="Z178" s="781"/>
      <c r="AA178" s="783"/>
    </row>
    <row r="179" spans="1:27">
      <c r="A179" s="2112">
        <v>44</v>
      </c>
      <c r="B179" s="2313"/>
      <c r="C179" s="2313"/>
      <c r="D179" s="2317">
        <v>2027</v>
      </c>
      <c r="E179" s="2317"/>
      <c r="F179" s="2317"/>
      <c r="G179" s="2317"/>
      <c r="H179" s="2317" t="s">
        <v>313</v>
      </c>
      <c r="I179" s="2317"/>
      <c r="J179" s="2317"/>
      <c r="K179" s="2317"/>
      <c r="L179" s="2317"/>
      <c r="M179" s="2317"/>
      <c r="N179" s="2317"/>
      <c r="O179" s="2317"/>
      <c r="P179" s="2318">
        <v>24482</v>
      </c>
      <c r="Q179" s="2319"/>
      <c r="R179" s="2319"/>
      <c r="S179" s="2319"/>
      <c r="T179" s="2116">
        <f>ROUND(IPMT(($AA$3%+0.35%)/11,1,$D$219-$D$208+1,$P$220-(SUM($P$4:P178)))*-1,2)</f>
        <v>5024.33</v>
      </c>
      <c r="U179" s="2116"/>
      <c r="V179" s="2116"/>
      <c r="W179" s="2116"/>
      <c r="X179" s="783"/>
      <c r="Y179" s="782"/>
      <c r="Z179" s="781"/>
      <c r="AA179" s="783"/>
    </row>
    <row r="180" spans="1:27">
      <c r="A180" s="2112">
        <v>45</v>
      </c>
      <c r="B180" s="2313"/>
      <c r="C180" s="2313"/>
      <c r="D180" s="2317">
        <v>2027</v>
      </c>
      <c r="E180" s="2317"/>
      <c r="F180" s="2317"/>
      <c r="G180" s="2317"/>
      <c r="H180" s="2317" t="s">
        <v>314</v>
      </c>
      <c r="I180" s="2317"/>
      <c r="J180" s="2317"/>
      <c r="K180" s="2317"/>
      <c r="L180" s="2317"/>
      <c r="M180" s="2317"/>
      <c r="N180" s="2317"/>
      <c r="O180" s="2317"/>
      <c r="P180" s="2318">
        <v>24482</v>
      </c>
      <c r="Q180" s="2319"/>
      <c r="R180" s="2319"/>
      <c r="S180" s="2319"/>
      <c r="T180" s="2116">
        <f>ROUND(IPMT(($AA$3%+0.35%)/11,1,$D$219-$D$208+1,$P$220-(SUM($P$4:P179)))*-1,2)</f>
        <v>4880.78</v>
      </c>
      <c r="U180" s="2116"/>
      <c r="V180" s="2116"/>
      <c r="W180" s="2116"/>
      <c r="X180" s="783"/>
      <c r="Y180" s="782"/>
      <c r="Z180" s="781"/>
      <c r="AA180" s="783"/>
    </row>
    <row r="181" spans="1:27">
      <c r="A181" s="2112">
        <v>46</v>
      </c>
      <c r="B181" s="2313"/>
      <c r="C181" s="2313"/>
      <c r="D181" s="2317">
        <v>2027</v>
      </c>
      <c r="E181" s="2317"/>
      <c r="F181" s="2317"/>
      <c r="G181" s="2317"/>
      <c r="H181" s="2317" t="s">
        <v>315</v>
      </c>
      <c r="I181" s="2317"/>
      <c r="J181" s="2317"/>
      <c r="K181" s="2317"/>
      <c r="L181" s="2317"/>
      <c r="M181" s="2317"/>
      <c r="N181" s="2317"/>
      <c r="O181" s="2317"/>
      <c r="P181" s="2318">
        <v>24482</v>
      </c>
      <c r="Q181" s="2319"/>
      <c r="R181" s="2319"/>
      <c r="S181" s="2319"/>
      <c r="T181" s="2116">
        <f>ROUND(IPMT(($AA$3%+0.35%)/11,1,$D$219-$D$208+1,$P$220-(SUM($P$4:P180)))*-1,2)</f>
        <v>4737.2299999999996</v>
      </c>
      <c r="U181" s="2116"/>
      <c r="V181" s="2116"/>
      <c r="W181" s="2116"/>
      <c r="X181" s="783"/>
      <c r="Y181" s="782"/>
      <c r="Z181" s="781"/>
      <c r="AA181" s="783"/>
    </row>
    <row r="182" spans="1:27">
      <c r="A182" s="2112">
        <v>47</v>
      </c>
      <c r="B182" s="2313"/>
      <c r="C182" s="2313"/>
      <c r="D182" s="2317">
        <v>2027</v>
      </c>
      <c r="E182" s="2317"/>
      <c r="F182" s="2317"/>
      <c r="G182" s="2317"/>
      <c r="H182" s="2317" t="s">
        <v>316</v>
      </c>
      <c r="I182" s="2317"/>
      <c r="J182" s="2317"/>
      <c r="K182" s="2317"/>
      <c r="L182" s="2317"/>
      <c r="M182" s="2317"/>
      <c r="N182" s="2317"/>
      <c r="O182" s="2317"/>
      <c r="P182" s="2318">
        <v>24482</v>
      </c>
      <c r="Q182" s="2319"/>
      <c r="R182" s="2319"/>
      <c r="S182" s="2319"/>
      <c r="T182" s="2116">
        <f>ROUND(IPMT(($AA$3%+0.35%)/11,1,$D$219-$D$208+1,$P$220-(SUM($P$4:P181)))*-1,2)</f>
        <v>4593.67</v>
      </c>
      <c r="U182" s="2116"/>
      <c r="V182" s="2116"/>
      <c r="W182" s="2116"/>
      <c r="X182" s="783"/>
      <c r="Y182" s="782"/>
      <c r="Z182" s="781"/>
      <c r="AA182" s="783"/>
    </row>
    <row r="183" spans="1:27">
      <c r="A183" s="2112">
        <v>48</v>
      </c>
      <c r="B183" s="2313"/>
      <c r="C183" s="2313"/>
      <c r="D183" s="2317">
        <v>2027</v>
      </c>
      <c r="E183" s="2317"/>
      <c r="F183" s="2317"/>
      <c r="G183" s="2317"/>
      <c r="H183" s="2332" t="s">
        <v>317</v>
      </c>
      <c r="I183" s="2332"/>
      <c r="J183" s="2332"/>
      <c r="K183" s="2332"/>
      <c r="L183" s="2332"/>
      <c r="M183" s="2332"/>
      <c r="N183" s="2332"/>
      <c r="O183" s="2332"/>
      <c r="P183" s="2318">
        <v>24482</v>
      </c>
      <c r="Q183" s="2319"/>
      <c r="R183" s="2319"/>
      <c r="S183" s="2319"/>
      <c r="T183" s="2111">
        <f>ROUND(IPMT(($AA$3%+0.35%)/11,1,$D$219-$D$208+1,$P$220-(SUM($P$4:P182)))*-1,2)</f>
        <v>4450.12</v>
      </c>
      <c r="U183" s="2111"/>
      <c r="V183" s="2111"/>
      <c r="W183" s="2111"/>
      <c r="X183" s="783"/>
      <c r="Y183" s="2324">
        <f>SUM(T172:W183)</f>
        <v>63163.07</v>
      </c>
      <c r="Z183" s="2325"/>
      <c r="AA183" s="783"/>
    </row>
    <row r="184" spans="1:27">
      <c r="A184" s="2326">
        <v>37</v>
      </c>
      <c r="B184" s="2327"/>
      <c r="C184" s="2327"/>
      <c r="D184" s="2328">
        <v>2028</v>
      </c>
      <c r="E184" s="2328"/>
      <c r="F184" s="2328"/>
      <c r="G184" s="2328"/>
      <c r="H184" s="2328" t="s">
        <v>306</v>
      </c>
      <c r="I184" s="2328"/>
      <c r="J184" s="2328"/>
      <c r="K184" s="2328"/>
      <c r="L184" s="2328"/>
      <c r="M184" s="2328"/>
      <c r="N184" s="2328"/>
      <c r="O184" s="2328"/>
      <c r="P184" s="2318">
        <v>24482</v>
      </c>
      <c r="Q184" s="2319"/>
      <c r="R184" s="2319"/>
      <c r="S184" s="2319"/>
      <c r="T184" s="2331">
        <f>ROUND(IPMT(($AA$3%+0.35%)/11,1,$D$219-$D$88+1,$P$220-(SUM($P$4:P183)))*-1,2)</f>
        <v>4306.57</v>
      </c>
      <c r="U184" s="2331"/>
      <c r="V184" s="2331"/>
      <c r="W184" s="2331"/>
      <c r="X184" s="783"/>
      <c r="Y184" s="782"/>
      <c r="Z184" s="781"/>
      <c r="AA184" s="783"/>
    </row>
    <row r="185" spans="1:27">
      <c r="A185" s="2112">
        <v>38</v>
      </c>
      <c r="B185" s="2313"/>
      <c r="C185" s="2313"/>
      <c r="D185" s="2317">
        <v>2028</v>
      </c>
      <c r="E185" s="2317"/>
      <c r="F185" s="2317"/>
      <c r="G185" s="2317"/>
      <c r="H185" s="2317" t="s">
        <v>307</v>
      </c>
      <c r="I185" s="2317"/>
      <c r="J185" s="2317"/>
      <c r="K185" s="2317"/>
      <c r="L185" s="2317"/>
      <c r="M185" s="2317"/>
      <c r="N185" s="2317"/>
      <c r="O185" s="2317"/>
      <c r="P185" s="2318">
        <v>24482</v>
      </c>
      <c r="Q185" s="2319"/>
      <c r="R185" s="2319"/>
      <c r="S185" s="2319"/>
      <c r="T185" s="2116">
        <f>ROUND(IPMT(($AA$3%+0.35%)/11,1,$D$219-$D$208+1,$P$220-(SUM($P$4:P184)))*-1,2)</f>
        <v>4163.01</v>
      </c>
      <c r="U185" s="2116"/>
      <c r="V185" s="2116"/>
      <c r="W185" s="2116"/>
      <c r="X185" s="783"/>
      <c r="Y185" s="782"/>
      <c r="Z185" s="781"/>
      <c r="AA185" s="783"/>
    </row>
    <row r="186" spans="1:27">
      <c r="A186" s="2112">
        <v>39</v>
      </c>
      <c r="B186" s="2313"/>
      <c r="C186" s="2313"/>
      <c r="D186" s="2317">
        <v>2028</v>
      </c>
      <c r="E186" s="2317"/>
      <c r="F186" s="2317"/>
      <c r="G186" s="2317"/>
      <c r="H186" s="2317" t="s">
        <v>308</v>
      </c>
      <c r="I186" s="2317"/>
      <c r="J186" s="2317"/>
      <c r="K186" s="2317"/>
      <c r="L186" s="2317"/>
      <c r="M186" s="2317"/>
      <c r="N186" s="2317"/>
      <c r="O186" s="2317"/>
      <c r="P186" s="2318">
        <v>24482</v>
      </c>
      <c r="Q186" s="2319"/>
      <c r="R186" s="2319"/>
      <c r="S186" s="2319"/>
      <c r="T186" s="2116">
        <f>ROUND(IPMT(($AA$3%+0.35%)/11,1,$D$219-$D$208+1,$P$220-(SUM($P$4:P185)))*-1,2)</f>
        <v>4019.46</v>
      </c>
      <c r="U186" s="2116"/>
      <c r="V186" s="2116"/>
      <c r="W186" s="2116"/>
      <c r="X186" s="783"/>
      <c r="Y186" s="782"/>
      <c r="Z186" s="781"/>
      <c r="AA186" s="783"/>
    </row>
    <row r="187" spans="1:27">
      <c r="A187" s="2112">
        <v>40</v>
      </c>
      <c r="B187" s="2313"/>
      <c r="C187" s="2313"/>
      <c r="D187" s="2317">
        <v>2028</v>
      </c>
      <c r="E187" s="2317"/>
      <c r="F187" s="2317"/>
      <c r="G187" s="2317"/>
      <c r="H187" s="2317" t="s">
        <v>309</v>
      </c>
      <c r="I187" s="2317"/>
      <c r="J187" s="2317"/>
      <c r="K187" s="2317"/>
      <c r="L187" s="2317"/>
      <c r="M187" s="2317"/>
      <c r="N187" s="2317"/>
      <c r="O187" s="2317"/>
      <c r="P187" s="2318">
        <v>24482</v>
      </c>
      <c r="Q187" s="2319"/>
      <c r="R187" s="2319"/>
      <c r="S187" s="2319"/>
      <c r="T187" s="2116">
        <f>ROUND(IPMT(($AA$3%+0.35%)/11,1,$D$219-$D$208+1,$P$220-(SUM($P$4:P186)))*-1,2)</f>
        <v>3875.9</v>
      </c>
      <c r="U187" s="2116"/>
      <c r="V187" s="2116"/>
      <c r="W187" s="2116"/>
      <c r="X187" s="783"/>
      <c r="Y187" s="782"/>
      <c r="Z187" s="781"/>
      <c r="AA187" s="783"/>
    </row>
    <row r="188" spans="1:27">
      <c r="A188" s="2112">
        <v>41</v>
      </c>
      <c r="B188" s="2313"/>
      <c r="C188" s="2313"/>
      <c r="D188" s="2317">
        <v>2028</v>
      </c>
      <c r="E188" s="2317"/>
      <c r="F188" s="2317"/>
      <c r="G188" s="2317"/>
      <c r="H188" s="2317" t="s">
        <v>310</v>
      </c>
      <c r="I188" s="2317"/>
      <c r="J188" s="2317"/>
      <c r="K188" s="2317"/>
      <c r="L188" s="2317"/>
      <c r="M188" s="2317"/>
      <c r="N188" s="2317"/>
      <c r="O188" s="2317"/>
      <c r="P188" s="2318">
        <v>24482</v>
      </c>
      <c r="Q188" s="2319"/>
      <c r="R188" s="2319"/>
      <c r="S188" s="2319"/>
      <c r="T188" s="2116">
        <f>ROUND(IPMT(($AA$3%+0.35%)/11,1,$D$219-$D$208+1,$P$220-(SUM($P$4:P187)))*-1,2)</f>
        <v>3732.35</v>
      </c>
      <c r="U188" s="2116"/>
      <c r="V188" s="2116"/>
      <c r="W188" s="2116"/>
      <c r="X188" s="783"/>
      <c r="Y188" s="782"/>
      <c r="Z188" s="781"/>
      <c r="AA188" s="783"/>
    </row>
    <row r="189" spans="1:27">
      <c r="A189" s="2112">
        <v>42</v>
      </c>
      <c r="B189" s="2313"/>
      <c r="C189" s="2313"/>
      <c r="D189" s="2317">
        <v>2028</v>
      </c>
      <c r="E189" s="2317"/>
      <c r="F189" s="2317"/>
      <c r="G189" s="2317"/>
      <c r="H189" s="2317" t="s">
        <v>311</v>
      </c>
      <c r="I189" s="2317"/>
      <c r="J189" s="2317"/>
      <c r="K189" s="2317"/>
      <c r="L189" s="2317"/>
      <c r="M189" s="2317"/>
      <c r="N189" s="2317"/>
      <c r="O189" s="2317"/>
      <c r="P189" s="2318">
        <v>24482</v>
      </c>
      <c r="Q189" s="2319"/>
      <c r="R189" s="2319"/>
      <c r="S189" s="2319"/>
      <c r="T189" s="2116">
        <f>ROUND(IPMT(($AA$3%+0.35%)/11,1,$D$219-$D$208+1,$P$220-(SUM($P$4:P188)))*-1,2)</f>
        <v>3588.8</v>
      </c>
      <c r="U189" s="2116"/>
      <c r="V189" s="2116"/>
      <c r="W189" s="2116"/>
      <c r="X189" s="783"/>
      <c r="Y189" s="782"/>
      <c r="Z189" s="781"/>
      <c r="AA189" s="783"/>
    </row>
    <row r="190" spans="1:27">
      <c r="A190" s="2112">
        <v>43</v>
      </c>
      <c r="B190" s="2313"/>
      <c r="C190" s="2313"/>
      <c r="D190" s="2317">
        <v>2028</v>
      </c>
      <c r="E190" s="2317"/>
      <c r="F190" s="2317"/>
      <c r="G190" s="2317"/>
      <c r="H190" s="2317" t="s">
        <v>312</v>
      </c>
      <c r="I190" s="2317"/>
      <c r="J190" s="2317"/>
      <c r="K190" s="2317"/>
      <c r="L190" s="2317"/>
      <c r="M190" s="2317"/>
      <c r="N190" s="2317"/>
      <c r="O190" s="2317"/>
      <c r="P190" s="2318">
        <v>24482</v>
      </c>
      <c r="Q190" s="2319"/>
      <c r="R190" s="2319"/>
      <c r="S190" s="2319"/>
      <c r="T190" s="2116">
        <f>ROUND(IPMT(($AA$3%+0.35%)/11,1,$D$219-$D$208+1,$P$220-(SUM($P$4:P189)))*-1,2)</f>
        <v>3445.24</v>
      </c>
      <c r="U190" s="2116"/>
      <c r="V190" s="2116"/>
      <c r="W190" s="2116"/>
      <c r="X190" s="783"/>
      <c r="Y190" s="782"/>
      <c r="Z190" s="781"/>
      <c r="AA190" s="783"/>
    </row>
    <row r="191" spans="1:27">
      <c r="A191" s="2112">
        <v>44</v>
      </c>
      <c r="B191" s="2313"/>
      <c r="C191" s="2313"/>
      <c r="D191" s="2317">
        <v>2028</v>
      </c>
      <c r="E191" s="2317"/>
      <c r="F191" s="2317"/>
      <c r="G191" s="2317"/>
      <c r="H191" s="2317" t="s">
        <v>313</v>
      </c>
      <c r="I191" s="2317"/>
      <c r="J191" s="2317"/>
      <c r="K191" s="2317"/>
      <c r="L191" s="2317"/>
      <c r="M191" s="2317"/>
      <c r="N191" s="2317"/>
      <c r="O191" s="2317"/>
      <c r="P191" s="2318">
        <v>24482</v>
      </c>
      <c r="Q191" s="2319"/>
      <c r="R191" s="2319"/>
      <c r="S191" s="2319"/>
      <c r="T191" s="2116">
        <f>ROUND(IPMT(($AA$3%+0.35%)/11,1,$D$219-$D$208+1,$P$220-(SUM($P$4:P190)))*-1,2)</f>
        <v>3301.69</v>
      </c>
      <c r="U191" s="2116"/>
      <c r="V191" s="2116"/>
      <c r="W191" s="2116"/>
      <c r="X191" s="783"/>
      <c r="Y191" s="782"/>
      <c r="Z191" s="781"/>
      <c r="AA191" s="783"/>
    </row>
    <row r="192" spans="1:27">
      <c r="A192" s="2112">
        <v>45</v>
      </c>
      <c r="B192" s="2313"/>
      <c r="C192" s="2313"/>
      <c r="D192" s="2317">
        <v>2028</v>
      </c>
      <c r="E192" s="2317"/>
      <c r="F192" s="2317"/>
      <c r="G192" s="2317"/>
      <c r="H192" s="2317" t="s">
        <v>314</v>
      </c>
      <c r="I192" s="2317"/>
      <c r="J192" s="2317"/>
      <c r="K192" s="2317"/>
      <c r="L192" s="2317"/>
      <c r="M192" s="2317"/>
      <c r="N192" s="2317"/>
      <c r="O192" s="2317"/>
      <c r="P192" s="2318">
        <v>24482</v>
      </c>
      <c r="Q192" s="2319"/>
      <c r="R192" s="2319"/>
      <c r="S192" s="2319"/>
      <c r="T192" s="2116">
        <f>ROUND(IPMT(($AA$3%+0.35%)/11,1,$D$219-$D$208+1,$P$220-(SUM($P$4:P191)))*-1,2)</f>
        <v>3158.14</v>
      </c>
      <c r="U192" s="2116"/>
      <c r="V192" s="2116"/>
      <c r="W192" s="2116"/>
      <c r="X192" s="783"/>
      <c r="Y192" s="782"/>
      <c r="Z192" s="781"/>
      <c r="AA192" s="783"/>
    </row>
    <row r="193" spans="1:27">
      <c r="A193" s="2112">
        <v>46</v>
      </c>
      <c r="B193" s="2313"/>
      <c r="C193" s="2313"/>
      <c r="D193" s="2317">
        <v>2028</v>
      </c>
      <c r="E193" s="2317"/>
      <c r="F193" s="2317"/>
      <c r="G193" s="2317"/>
      <c r="H193" s="2317" t="s">
        <v>315</v>
      </c>
      <c r="I193" s="2317"/>
      <c r="J193" s="2317"/>
      <c r="K193" s="2317"/>
      <c r="L193" s="2317"/>
      <c r="M193" s="2317"/>
      <c r="N193" s="2317"/>
      <c r="O193" s="2317"/>
      <c r="P193" s="2318">
        <v>24482</v>
      </c>
      <c r="Q193" s="2319"/>
      <c r="R193" s="2319"/>
      <c r="S193" s="2319"/>
      <c r="T193" s="2116">
        <f>ROUND(IPMT(($AA$3%+0.35%)/11,1,$D$219-$D$208+1,$P$220-(SUM($P$4:P192)))*-1,2)</f>
        <v>3014.58</v>
      </c>
      <c r="U193" s="2116"/>
      <c r="V193" s="2116"/>
      <c r="W193" s="2116"/>
      <c r="X193" s="783"/>
      <c r="Y193" s="782"/>
      <c r="Z193" s="781"/>
      <c r="AA193" s="783"/>
    </row>
    <row r="194" spans="1:27">
      <c r="A194" s="2112">
        <v>47</v>
      </c>
      <c r="B194" s="2313"/>
      <c r="C194" s="2313"/>
      <c r="D194" s="2317">
        <v>2028</v>
      </c>
      <c r="E194" s="2317"/>
      <c r="F194" s="2317"/>
      <c r="G194" s="2317"/>
      <c r="H194" s="2317" t="s">
        <v>316</v>
      </c>
      <c r="I194" s="2317"/>
      <c r="J194" s="2317"/>
      <c r="K194" s="2317"/>
      <c r="L194" s="2317"/>
      <c r="M194" s="2317"/>
      <c r="N194" s="2317"/>
      <c r="O194" s="2317"/>
      <c r="P194" s="2318">
        <v>24482</v>
      </c>
      <c r="Q194" s="2319"/>
      <c r="R194" s="2319"/>
      <c r="S194" s="2319"/>
      <c r="T194" s="2116">
        <f>ROUND(IPMT(($AA$3%+0.35%)/11,1,$D$219-$D$208+1,$P$220-(SUM($P$4:P193)))*-1,2)</f>
        <v>2871.03</v>
      </c>
      <c r="U194" s="2116"/>
      <c r="V194" s="2116"/>
      <c r="W194" s="2116"/>
      <c r="X194" s="783"/>
      <c r="Y194" s="782"/>
      <c r="Z194" s="781"/>
      <c r="AA194" s="783"/>
    </row>
    <row r="195" spans="1:27">
      <c r="A195" s="2112">
        <v>48</v>
      </c>
      <c r="B195" s="2313"/>
      <c r="C195" s="2313"/>
      <c r="D195" s="2317">
        <v>2028</v>
      </c>
      <c r="E195" s="2317"/>
      <c r="F195" s="2317"/>
      <c r="G195" s="2317"/>
      <c r="H195" s="2332" t="s">
        <v>317</v>
      </c>
      <c r="I195" s="2332"/>
      <c r="J195" s="2332"/>
      <c r="K195" s="2332"/>
      <c r="L195" s="2332"/>
      <c r="M195" s="2332"/>
      <c r="N195" s="2332"/>
      <c r="O195" s="2332"/>
      <c r="P195" s="2318">
        <v>24482</v>
      </c>
      <c r="Q195" s="2319"/>
      <c r="R195" s="2319"/>
      <c r="S195" s="2319"/>
      <c r="T195" s="2111">
        <f>ROUND(IPMT(($AA$3%+0.35%)/11,1,$D$219-$D$208+1,$P$220-(SUM($P$4:P194)))*-1,2)</f>
        <v>2727.48</v>
      </c>
      <c r="U195" s="2111"/>
      <c r="V195" s="2111"/>
      <c r="W195" s="2111"/>
      <c r="X195" s="783"/>
      <c r="Y195" s="2324">
        <f>SUM(T184:W195)</f>
        <v>42204.250000000007</v>
      </c>
      <c r="Z195" s="2325"/>
      <c r="AA195" s="783"/>
    </row>
    <row r="196" spans="1:27">
      <c r="A196" s="2112">
        <v>37</v>
      </c>
      <c r="B196" s="2313"/>
      <c r="C196" s="2313"/>
      <c r="D196" s="2317">
        <v>2029</v>
      </c>
      <c r="E196" s="2317"/>
      <c r="F196" s="2317"/>
      <c r="G196" s="2317"/>
      <c r="H196" s="2317" t="s">
        <v>306</v>
      </c>
      <c r="I196" s="2317"/>
      <c r="J196" s="2317"/>
      <c r="K196" s="2317"/>
      <c r="L196" s="2317"/>
      <c r="M196" s="2317"/>
      <c r="N196" s="2317"/>
      <c r="O196" s="2317"/>
      <c r="P196" s="2318">
        <v>24482</v>
      </c>
      <c r="Q196" s="2319"/>
      <c r="R196" s="2319"/>
      <c r="S196" s="2319"/>
      <c r="T196" s="2116">
        <f>ROUND(IPMT(($AA$3%+0.35%)/11,1,$D$219-$D$88+1,$P$220-(SUM($P$4:P195)))*-1,2)</f>
        <v>2583.92</v>
      </c>
      <c r="U196" s="2116"/>
      <c r="V196" s="2116"/>
      <c r="W196" s="2116"/>
      <c r="X196" s="783"/>
      <c r="Y196" s="782"/>
      <c r="Z196" s="781"/>
      <c r="AA196" s="783"/>
    </row>
    <row r="197" spans="1:27">
      <c r="A197" s="2326">
        <v>38</v>
      </c>
      <c r="B197" s="2327"/>
      <c r="C197" s="2327"/>
      <c r="D197" s="2328">
        <v>2029</v>
      </c>
      <c r="E197" s="2328"/>
      <c r="F197" s="2328"/>
      <c r="G197" s="2328"/>
      <c r="H197" s="2328" t="s">
        <v>307</v>
      </c>
      <c r="I197" s="2328"/>
      <c r="J197" s="2328"/>
      <c r="K197" s="2328"/>
      <c r="L197" s="2328"/>
      <c r="M197" s="2328"/>
      <c r="N197" s="2328"/>
      <c r="O197" s="2328"/>
      <c r="P197" s="2318">
        <v>24482</v>
      </c>
      <c r="Q197" s="2319"/>
      <c r="R197" s="2319"/>
      <c r="S197" s="2319"/>
      <c r="T197" s="2331">
        <f>ROUND(IPMT(($AA$3%+0.35%)/11,1,$D$219-$D$208+1,$P$220-(SUM($P$4:P196)))*-1,2)</f>
        <v>2440.37</v>
      </c>
      <c r="U197" s="2331"/>
      <c r="V197" s="2331"/>
      <c r="W197" s="2331"/>
      <c r="X197" s="783"/>
      <c r="Y197" s="782"/>
      <c r="Z197" s="781"/>
      <c r="AA197" s="783"/>
    </row>
    <row r="198" spans="1:27">
      <c r="A198" s="2112">
        <v>39</v>
      </c>
      <c r="B198" s="2313"/>
      <c r="C198" s="2313"/>
      <c r="D198" s="2317">
        <v>2029</v>
      </c>
      <c r="E198" s="2317"/>
      <c r="F198" s="2317"/>
      <c r="G198" s="2317"/>
      <c r="H198" s="2317" t="s">
        <v>308</v>
      </c>
      <c r="I198" s="2317"/>
      <c r="J198" s="2317"/>
      <c r="K198" s="2317"/>
      <c r="L198" s="2317"/>
      <c r="M198" s="2317"/>
      <c r="N198" s="2317"/>
      <c r="O198" s="2317"/>
      <c r="P198" s="2318">
        <v>24482</v>
      </c>
      <c r="Q198" s="2319"/>
      <c r="R198" s="2319"/>
      <c r="S198" s="2319"/>
      <c r="T198" s="2116">
        <f>ROUND(IPMT(($AA$3%+0.35%)/11,1,$D$219-$D$208+1,$P$220-(SUM($P$4:P197)))*-1,2)</f>
        <v>2296.8200000000002</v>
      </c>
      <c r="U198" s="2116"/>
      <c r="V198" s="2116"/>
      <c r="W198" s="2116"/>
      <c r="X198" s="783"/>
      <c r="Y198" s="782"/>
      <c r="Z198" s="781"/>
      <c r="AA198" s="783"/>
    </row>
    <row r="199" spans="1:27">
      <c r="A199" s="2112">
        <v>40</v>
      </c>
      <c r="B199" s="2313"/>
      <c r="C199" s="2313"/>
      <c r="D199" s="2317">
        <v>2029</v>
      </c>
      <c r="E199" s="2317"/>
      <c r="F199" s="2317"/>
      <c r="G199" s="2317"/>
      <c r="H199" s="2317" t="s">
        <v>309</v>
      </c>
      <c r="I199" s="2317"/>
      <c r="J199" s="2317"/>
      <c r="K199" s="2317"/>
      <c r="L199" s="2317"/>
      <c r="M199" s="2317"/>
      <c r="N199" s="2317"/>
      <c r="O199" s="2317"/>
      <c r="P199" s="2318">
        <v>24482</v>
      </c>
      <c r="Q199" s="2319"/>
      <c r="R199" s="2319"/>
      <c r="S199" s="2319"/>
      <c r="T199" s="2116">
        <f>ROUND(IPMT(($AA$3%+0.35%)/11,1,$D$219-$D$208+1,$P$220-(SUM($P$4:P198)))*-1,2)</f>
        <v>2153.2600000000002</v>
      </c>
      <c r="U199" s="2116"/>
      <c r="V199" s="2116"/>
      <c r="W199" s="2116"/>
      <c r="X199" s="783"/>
      <c r="Y199" s="782"/>
      <c r="Z199" s="781"/>
      <c r="AA199" s="783"/>
    </row>
    <row r="200" spans="1:27">
      <c r="A200" s="2112">
        <v>41</v>
      </c>
      <c r="B200" s="2313"/>
      <c r="C200" s="2313"/>
      <c r="D200" s="2317">
        <v>2029</v>
      </c>
      <c r="E200" s="2317"/>
      <c r="F200" s="2317"/>
      <c r="G200" s="2317"/>
      <c r="H200" s="2317" t="s">
        <v>310</v>
      </c>
      <c r="I200" s="2317"/>
      <c r="J200" s="2317"/>
      <c r="K200" s="2317"/>
      <c r="L200" s="2317"/>
      <c r="M200" s="2317"/>
      <c r="N200" s="2317"/>
      <c r="O200" s="2317"/>
      <c r="P200" s="2318">
        <v>24482</v>
      </c>
      <c r="Q200" s="2319"/>
      <c r="R200" s="2319"/>
      <c r="S200" s="2319"/>
      <c r="T200" s="2116">
        <f>ROUND(IPMT(($AA$3%+0.35%)/11,1,$D$219-$D$208+1,$P$220-(SUM($P$4:P199)))*-1,2)</f>
        <v>2009.71</v>
      </c>
      <c r="U200" s="2116"/>
      <c r="V200" s="2116"/>
      <c r="W200" s="2116"/>
      <c r="X200" s="783"/>
      <c r="Y200" s="782"/>
      <c r="Z200" s="781"/>
      <c r="AA200" s="783"/>
    </row>
    <row r="201" spans="1:27">
      <c r="A201" s="2112">
        <v>42</v>
      </c>
      <c r="B201" s="2313"/>
      <c r="C201" s="2313"/>
      <c r="D201" s="2317">
        <v>2029</v>
      </c>
      <c r="E201" s="2317"/>
      <c r="F201" s="2317"/>
      <c r="G201" s="2317"/>
      <c r="H201" s="2317" t="s">
        <v>311</v>
      </c>
      <c r="I201" s="2317"/>
      <c r="J201" s="2317"/>
      <c r="K201" s="2317"/>
      <c r="L201" s="2317"/>
      <c r="M201" s="2317"/>
      <c r="N201" s="2317"/>
      <c r="O201" s="2317"/>
      <c r="P201" s="2318">
        <v>24482</v>
      </c>
      <c r="Q201" s="2319"/>
      <c r="R201" s="2319"/>
      <c r="S201" s="2319"/>
      <c r="T201" s="2116">
        <f>ROUND(IPMT(($AA$3%+0.35%)/11,1,$D$219-$D$208+1,$P$220-(SUM($P$4:P200)))*-1,2)</f>
        <v>1866.16</v>
      </c>
      <c r="U201" s="2116"/>
      <c r="V201" s="2116"/>
      <c r="W201" s="2116"/>
      <c r="X201" s="783"/>
      <c r="Y201" s="782"/>
      <c r="Z201" s="781"/>
      <c r="AA201" s="783"/>
    </row>
    <row r="202" spans="1:27">
      <c r="A202" s="2112">
        <v>43</v>
      </c>
      <c r="B202" s="2313"/>
      <c r="C202" s="2313"/>
      <c r="D202" s="2317">
        <v>2029</v>
      </c>
      <c r="E202" s="2317"/>
      <c r="F202" s="2317"/>
      <c r="G202" s="2317"/>
      <c r="H202" s="2317" t="s">
        <v>312</v>
      </c>
      <c r="I202" s="2317"/>
      <c r="J202" s="2317"/>
      <c r="K202" s="2317"/>
      <c r="L202" s="2317"/>
      <c r="M202" s="2317"/>
      <c r="N202" s="2317"/>
      <c r="O202" s="2317"/>
      <c r="P202" s="2318">
        <v>24482</v>
      </c>
      <c r="Q202" s="2319"/>
      <c r="R202" s="2319"/>
      <c r="S202" s="2319"/>
      <c r="T202" s="2116">
        <f>ROUND(IPMT(($AA$3%+0.35%)/11,1,$D$219-$D$208+1,$P$220-(SUM($P$4:P201)))*-1,2)</f>
        <v>1722.6</v>
      </c>
      <c r="U202" s="2116"/>
      <c r="V202" s="2116"/>
      <c r="W202" s="2116"/>
      <c r="X202" s="783"/>
      <c r="Y202" s="782"/>
      <c r="Z202" s="781"/>
      <c r="AA202" s="783"/>
    </row>
    <row r="203" spans="1:27">
      <c r="A203" s="2112">
        <v>44</v>
      </c>
      <c r="B203" s="2313"/>
      <c r="C203" s="2313"/>
      <c r="D203" s="2317">
        <v>2029</v>
      </c>
      <c r="E203" s="2317"/>
      <c r="F203" s="2317"/>
      <c r="G203" s="2317"/>
      <c r="H203" s="2317" t="s">
        <v>313</v>
      </c>
      <c r="I203" s="2317"/>
      <c r="J203" s="2317"/>
      <c r="K203" s="2317"/>
      <c r="L203" s="2317"/>
      <c r="M203" s="2317"/>
      <c r="N203" s="2317"/>
      <c r="O203" s="2317"/>
      <c r="P203" s="2318">
        <v>24482</v>
      </c>
      <c r="Q203" s="2319"/>
      <c r="R203" s="2319"/>
      <c r="S203" s="2319"/>
      <c r="T203" s="2116">
        <f>ROUND(IPMT(($AA$3%+0.35%)/11,1,$D$219-$D$208+1,$P$220-(SUM($P$4:P202)))*-1,2)</f>
        <v>1579.05</v>
      </c>
      <c r="U203" s="2116"/>
      <c r="V203" s="2116"/>
      <c r="W203" s="2116"/>
      <c r="X203" s="783"/>
      <c r="Y203" s="782"/>
      <c r="Z203" s="781"/>
      <c r="AA203" s="783"/>
    </row>
    <row r="204" spans="1:27">
      <c r="A204" s="2112">
        <v>45</v>
      </c>
      <c r="B204" s="2313"/>
      <c r="C204" s="2313"/>
      <c r="D204" s="2317">
        <v>2029</v>
      </c>
      <c r="E204" s="2317"/>
      <c r="F204" s="2317"/>
      <c r="G204" s="2317"/>
      <c r="H204" s="2317" t="s">
        <v>314</v>
      </c>
      <c r="I204" s="2317"/>
      <c r="J204" s="2317"/>
      <c r="K204" s="2317"/>
      <c r="L204" s="2317"/>
      <c r="M204" s="2317"/>
      <c r="N204" s="2317"/>
      <c r="O204" s="2317"/>
      <c r="P204" s="2318">
        <v>24482</v>
      </c>
      <c r="Q204" s="2319"/>
      <c r="R204" s="2319"/>
      <c r="S204" s="2319"/>
      <c r="T204" s="2116">
        <f>ROUND(IPMT(($AA$3%+0.35%)/11,1,$D$219-$D$208+1,$P$220-(SUM($P$4:P203)))*-1,2)</f>
        <v>1435.49</v>
      </c>
      <c r="U204" s="2116"/>
      <c r="V204" s="2116"/>
      <c r="W204" s="2116"/>
      <c r="X204" s="783"/>
      <c r="Y204" s="782"/>
      <c r="Z204" s="781"/>
      <c r="AA204" s="783"/>
    </row>
    <row r="205" spans="1:27">
      <c r="A205" s="2112">
        <v>46</v>
      </c>
      <c r="B205" s="2313"/>
      <c r="C205" s="2313"/>
      <c r="D205" s="2317">
        <v>2029</v>
      </c>
      <c r="E205" s="2317"/>
      <c r="F205" s="2317"/>
      <c r="G205" s="2317"/>
      <c r="H205" s="2317" t="s">
        <v>315</v>
      </c>
      <c r="I205" s="2317"/>
      <c r="J205" s="2317"/>
      <c r="K205" s="2317"/>
      <c r="L205" s="2317"/>
      <c r="M205" s="2317"/>
      <c r="N205" s="2317"/>
      <c r="O205" s="2317"/>
      <c r="P205" s="2318">
        <v>24482</v>
      </c>
      <c r="Q205" s="2319"/>
      <c r="R205" s="2319"/>
      <c r="S205" s="2319"/>
      <c r="T205" s="2116">
        <f>ROUND(IPMT(($AA$3%+0.35%)/11,1,$D$219-$D$208+1,$P$220-(SUM($P$4:P204)))*-1,2)</f>
        <v>1291.94</v>
      </c>
      <c r="U205" s="2116"/>
      <c r="V205" s="2116"/>
      <c r="W205" s="2116"/>
      <c r="X205" s="783"/>
      <c r="Y205" s="782"/>
      <c r="Z205" s="781"/>
      <c r="AA205" s="783"/>
    </row>
    <row r="206" spans="1:27">
      <c r="A206" s="2112">
        <v>47</v>
      </c>
      <c r="B206" s="2313"/>
      <c r="C206" s="2313"/>
      <c r="D206" s="2317">
        <v>2029</v>
      </c>
      <c r="E206" s="2317"/>
      <c r="F206" s="2317"/>
      <c r="G206" s="2317"/>
      <c r="H206" s="2317" t="s">
        <v>316</v>
      </c>
      <c r="I206" s="2317"/>
      <c r="J206" s="2317"/>
      <c r="K206" s="2317"/>
      <c r="L206" s="2317"/>
      <c r="M206" s="2317"/>
      <c r="N206" s="2317"/>
      <c r="O206" s="2317"/>
      <c r="P206" s="2318">
        <v>24482</v>
      </c>
      <c r="Q206" s="2319"/>
      <c r="R206" s="2319"/>
      <c r="S206" s="2319"/>
      <c r="T206" s="2116">
        <f>ROUND(IPMT(($AA$3%+0.35%)/11,1,$D$219-$D$208+1,$P$220-(SUM($P$4:P205)))*-1,2)</f>
        <v>1148.3900000000001</v>
      </c>
      <c r="U206" s="2116"/>
      <c r="V206" s="2116"/>
      <c r="W206" s="2116"/>
      <c r="X206" s="783"/>
      <c r="Y206" s="782"/>
      <c r="Z206" s="781"/>
      <c r="AA206" s="783"/>
    </row>
    <row r="207" spans="1:27">
      <c r="A207" s="2112">
        <v>48</v>
      </c>
      <c r="B207" s="2313"/>
      <c r="C207" s="2313"/>
      <c r="D207" s="2317">
        <v>2029</v>
      </c>
      <c r="E207" s="2317"/>
      <c r="F207" s="2317"/>
      <c r="G207" s="2317"/>
      <c r="H207" s="2332" t="s">
        <v>317</v>
      </c>
      <c r="I207" s="2332"/>
      <c r="J207" s="2332"/>
      <c r="K207" s="2332"/>
      <c r="L207" s="2332"/>
      <c r="M207" s="2332"/>
      <c r="N207" s="2332"/>
      <c r="O207" s="2332"/>
      <c r="P207" s="2318">
        <v>24482</v>
      </c>
      <c r="Q207" s="2319"/>
      <c r="R207" s="2319"/>
      <c r="S207" s="2319"/>
      <c r="T207" s="2111">
        <f>ROUND(IPMT(($AA$3%+0.35%)/11,1,$D$219-$D$208+1,$P$220-(SUM($P$4:P206)))*-1,2)</f>
        <v>1004.83</v>
      </c>
      <c r="U207" s="2111"/>
      <c r="V207" s="2111"/>
      <c r="W207" s="2111"/>
      <c r="X207" s="783"/>
      <c r="Y207" s="2324">
        <f>SUM(T196:W207)</f>
        <v>21532.540000000005</v>
      </c>
      <c r="Z207" s="2325"/>
      <c r="AA207" s="783"/>
    </row>
    <row r="208" spans="1:27">
      <c r="A208" s="2326">
        <v>37</v>
      </c>
      <c r="B208" s="2327"/>
      <c r="C208" s="2327"/>
      <c r="D208" s="2328">
        <v>2030</v>
      </c>
      <c r="E208" s="2328"/>
      <c r="F208" s="2328"/>
      <c r="G208" s="2328"/>
      <c r="H208" s="2328" t="s">
        <v>306</v>
      </c>
      <c r="I208" s="2328"/>
      <c r="J208" s="2328"/>
      <c r="K208" s="2328"/>
      <c r="L208" s="2328"/>
      <c r="M208" s="2328"/>
      <c r="N208" s="2328"/>
      <c r="O208" s="2328"/>
      <c r="P208" s="2318">
        <v>24482</v>
      </c>
      <c r="Q208" s="2319"/>
      <c r="R208" s="2319"/>
      <c r="S208" s="2319"/>
      <c r="T208" s="2331">
        <f>ROUND(IPMT(($AA$3%+0.35%)/11,1,$D$219-$D$88+1,$P$220-(SUM($P$4:P207)))*-1,2)</f>
        <v>861.28</v>
      </c>
      <c r="U208" s="2331"/>
      <c r="V208" s="2331"/>
      <c r="W208" s="2331"/>
      <c r="X208" s="783"/>
      <c r="Y208" s="783"/>
      <c r="Z208" s="783"/>
      <c r="AA208" s="783"/>
    </row>
    <row r="209" spans="1:27">
      <c r="A209" s="2112">
        <v>38</v>
      </c>
      <c r="B209" s="2313"/>
      <c r="C209" s="2313"/>
      <c r="D209" s="2317">
        <f>$D$208</f>
        <v>2030</v>
      </c>
      <c r="E209" s="2317"/>
      <c r="F209" s="2317"/>
      <c r="G209" s="2317"/>
      <c r="H209" s="2317" t="s">
        <v>307</v>
      </c>
      <c r="I209" s="2317"/>
      <c r="J209" s="2317"/>
      <c r="K209" s="2317"/>
      <c r="L209" s="2317"/>
      <c r="M209" s="2317"/>
      <c r="N209" s="2317"/>
      <c r="O209" s="2317"/>
      <c r="P209" s="2318">
        <v>24482</v>
      </c>
      <c r="Q209" s="2319"/>
      <c r="R209" s="2319"/>
      <c r="S209" s="2319"/>
      <c r="T209" s="2116">
        <f>ROUND(IPMT(($AA$3%+0.35%)/11,1,$D$219-$D$208+1,$P$220-(SUM($P$4:P208)))*-1,2)</f>
        <v>717.73</v>
      </c>
      <c r="U209" s="2116"/>
      <c r="V209" s="2116"/>
      <c r="W209" s="2116"/>
      <c r="X209" s="783"/>
      <c r="Y209" s="783"/>
      <c r="Z209" s="783"/>
      <c r="AA209" s="783"/>
    </row>
    <row r="210" spans="1:27">
      <c r="A210" s="2112">
        <v>39</v>
      </c>
      <c r="B210" s="2313"/>
      <c r="C210" s="2313"/>
      <c r="D210" s="2317">
        <f t="shared" ref="D210:D219" si="11">$D$208</f>
        <v>2030</v>
      </c>
      <c r="E210" s="2317"/>
      <c r="F210" s="2317"/>
      <c r="G210" s="2317"/>
      <c r="H210" s="2317" t="s">
        <v>308</v>
      </c>
      <c r="I210" s="2317"/>
      <c r="J210" s="2317"/>
      <c r="K210" s="2317"/>
      <c r="L210" s="2317"/>
      <c r="M210" s="2317"/>
      <c r="N210" s="2317"/>
      <c r="O210" s="2317"/>
      <c r="P210" s="2318">
        <v>24482</v>
      </c>
      <c r="Q210" s="2319"/>
      <c r="R210" s="2319"/>
      <c r="S210" s="2319"/>
      <c r="T210" s="2116">
        <f>ROUND(IPMT(($AA$3%+0.35%)/11,1,$D$219-$D$208+1,$P$220-(SUM($P$4:P209)))*-1,2)</f>
        <v>574.16999999999996</v>
      </c>
      <c r="U210" s="2116"/>
      <c r="V210" s="2116"/>
      <c r="W210" s="2116"/>
      <c r="X210" s="783"/>
      <c r="Y210" s="783"/>
      <c r="Z210" s="783"/>
      <c r="AA210" s="783"/>
    </row>
    <row r="211" spans="1:27">
      <c r="A211" s="2112">
        <v>40</v>
      </c>
      <c r="B211" s="2313"/>
      <c r="C211" s="2313"/>
      <c r="D211" s="2317">
        <f t="shared" si="11"/>
        <v>2030</v>
      </c>
      <c r="E211" s="2317"/>
      <c r="F211" s="2317"/>
      <c r="G211" s="2317"/>
      <c r="H211" s="2317" t="s">
        <v>309</v>
      </c>
      <c r="I211" s="2317"/>
      <c r="J211" s="2317"/>
      <c r="K211" s="2317"/>
      <c r="L211" s="2317"/>
      <c r="M211" s="2317"/>
      <c r="N211" s="2317"/>
      <c r="O211" s="2317"/>
      <c r="P211" s="2318">
        <v>24482</v>
      </c>
      <c r="Q211" s="2319"/>
      <c r="R211" s="2319"/>
      <c r="S211" s="2319"/>
      <c r="T211" s="2116">
        <f>ROUND(IPMT(($AA$3%+0.35%)/11,1,$D$219-$D$208+1,$P$220-(SUM($P$4:P210)))*-1,2)</f>
        <v>430.62</v>
      </c>
      <c r="U211" s="2116"/>
      <c r="V211" s="2116"/>
      <c r="W211" s="2116"/>
      <c r="X211" s="783"/>
      <c r="Y211" s="783"/>
      <c r="Z211" s="783"/>
      <c r="AA211" s="783"/>
    </row>
    <row r="212" spans="1:27">
      <c r="A212" s="2112">
        <v>41</v>
      </c>
      <c r="B212" s="2313"/>
      <c r="C212" s="2313"/>
      <c r="D212" s="2317">
        <f t="shared" si="11"/>
        <v>2030</v>
      </c>
      <c r="E212" s="2317"/>
      <c r="F212" s="2317"/>
      <c r="G212" s="2317"/>
      <c r="H212" s="2317" t="s">
        <v>310</v>
      </c>
      <c r="I212" s="2317"/>
      <c r="J212" s="2317"/>
      <c r="K212" s="2317"/>
      <c r="L212" s="2317"/>
      <c r="M212" s="2317"/>
      <c r="N212" s="2317"/>
      <c r="O212" s="2317"/>
      <c r="P212" s="2318">
        <v>24482</v>
      </c>
      <c r="Q212" s="2319"/>
      <c r="R212" s="2319"/>
      <c r="S212" s="2319"/>
      <c r="T212" s="2116">
        <f>ROUND(IPMT(($AA$3%+0.35%)/11,1,$D$219-$D$208+1,$P$220-(SUM($P$4:P211)))*-1,2)</f>
        <v>287.07</v>
      </c>
      <c r="U212" s="2116"/>
      <c r="V212" s="2116"/>
      <c r="W212" s="2116"/>
      <c r="X212" s="783"/>
      <c r="Y212" s="783"/>
      <c r="Z212" s="783"/>
      <c r="AA212" s="783"/>
    </row>
    <row r="213" spans="1:27">
      <c r="A213" s="2112">
        <v>42</v>
      </c>
      <c r="B213" s="2313"/>
      <c r="C213" s="2313"/>
      <c r="D213" s="2317">
        <f t="shared" si="11"/>
        <v>2030</v>
      </c>
      <c r="E213" s="2317"/>
      <c r="F213" s="2317"/>
      <c r="G213" s="2317"/>
      <c r="H213" s="2317" t="s">
        <v>311</v>
      </c>
      <c r="I213" s="2317"/>
      <c r="J213" s="2317"/>
      <c r="K213" s="2317"/>
      <c r="L213" s="2317"/>
      <c r="M213" s="2317"/>
      <c r="N213" s="2317"/>
      <c r="O213" s="2317"/>
      <c r="P213" s="2318">
        <v>24475</v>
      </c>
      <c r="Q213" s="2319"/>
      <c r="R213" s="2319"/>
      <c r="S213" s="2319"/>
      <c r="T213" s="2116">
        <f>ROUND(IPMT(($AA$3%+0.35%)/11,1,$D$219-$D$208+1,$P$220-(SUM($P$4:P212)))*-1,2)</f>
        <v>143.51</v>
      </c>
      <c r="U213" s="2116"/>
      <c r="V213" s="2116"/>
      <c r="W213" s="2116"/>
      <c r="X213" s="783"/>
      <c r="Y213" s="783"/>
      <c r="Z213" s="783"/>
      <c r="AA213" s="783"/>
    </row>
    <row r="214" spans="1:27">
      <c r="A214" s="2112">
        <v>43</v>
      </c>
      <c r="B214" s="2313"/>
      <c r="C214" s="2313"/>
      <c r="D214" s="2317">
        <f t="shared" si="11"/>
        <v>2030</v>
      </c>
      <c r="E214" s="2317"/>
      <c r="F214" s="2317"/>
      <c r="G214" s="2317"/>
      <c r="H214" s="2317" t="s">
        <v>312</v>
      </c>
      <c r="I214" s="2317"/>
      <c r="J214" s="2317"/>
      <c r="K214" s="2317"/>
      <c r="L214" s="2317"/>
      <c r="M214" s="2317"/>
      <c r="N214" s="2317"/>
      <c r="O214" s="2317"/>
      <c r="P214" s="2318">
        <v>0</v>
      </c>
      <c r="Q214" s="2319"/>
      <c r="R214" s="2319"/>
      <c r="S214" s="2319"/>
      <c r="T214" s="2116">
        <f>ROUND(IPMT(($AA$3%+0.35%)/11,1,$D$219-$D$208+1,$P$220-(SUM($P$4:P213)))*-1,2)</f>
        <v>0</v>
      </c>
      <c r="U214" s="2116"/>
      <c r="V214" s="2116"/>
      <c r="W214" s="2116"/>
      <c r="X214" s="783"/>
      <c r="Y214" s="783"/>
      <c r="Z214" s="783"/>
      <c r="AA214" s="783"/>
    </row>
    <row r="215" spans="1:27">
      <c r="A215" s="2112">
        <v>44</v>
      </c>
      <c r="B215" s="2313"/>
      <c r="C215" s="2313"/>
      <c r="D215" s="2317">
        <f t="shared" si="11"/>
        <v>2030</v>
      </c>
      <c r="E215" s="2317"/>
      <c r="F215" s="2317"/>
      <c r="G215" s="2317"/>
      <c r="H215" s="2317" t="s">
        <v>313</v>
      </c>
      <c r="I215" s="2317"/>
      <c r="J215" s="2317"/>
      <c r="K215" s="2317"/>
      <c r="L215" s="2317"/>
      <c r="M215" s="2317"/>
      <c r="N215" s="2317"/>
      <c r="O215" s="2317"/>
      <c r="P215" s="2318">
        <v>0</v>
      </c>
      <c r="Q215" s="2319"/>
      <c r="R215" s="2319"/>
      <c r="S215" s="2319"/>
      <c r="T215" s="2116">
        <f>ROUND(IPMT(($AA$3%+0.35%)/11,1,$D$219-$D$208+1,$P$220-(SUM($P$4:P214)))*-1,2)</f>
        <v>0</v>
      </c>
      <c r="U215" s="2116"/>
      <c r="V215" s="2116"/>
      <c r="W215" s="2116"/>
      <c r="X215" s="783"/>
      <c r="Y215" s="783"/>
      <c r="Z215" s="783"/>
      <c r="AA215" s="783"/>
    </row>
    <row r="216" spans="1:27">
      <c r="A216" s="2112">
        <v>45</v>
      </c>
      <c r="B216" s="2313"/>
      <c r="C216" s="2313"/>
      <c r="D216" s="2317">
        <f t="shared" si="11"/>
        <v>2030</v>
      </c>
      <c r="E216" s="2317"/>
      <c r="F216" s="2317"/>
      <c r="G216" s="2317"/>
      <c r="H216" s="2317" t="s">
        <v>314</v>
      </c>
      <c r="I216" s="2317"/>
      <c r="J216" s="2317"/>
      <c r="K216" s="2317"/>
      <c r="L216" s="2317"/>
      <c r="M216" s="2317"/>
      <c r="N216" s="2317"/>
      <c r="O216" s="2317"/>
      <c r="P216" s="2318">
        <v>0</v>
      </c>
      <c r="Q216" s="2319"/>
      <c r="R216" s="2319"/>
      <c r="S216" s="2319"/>
      <c r="T216" s="2116">
        <f>ROUND(IPMT(($AA$3%+0.35%)/11,1,$D$219-$D$208+1,$P$220-(SUM($P$4:P215)))*-1,2)</f>
        <v>0</v>
      </c>
      <c r="U216" s="2116"/>
      <c r="V216" s="2116"/>
      <c r="W216" s="2116"/>
      <c r="X216" s="783"/>
      <c r="Y216" s="783"/>
      <c r="Z216" s="783"/>
      <c r="AA216" s="783"/>
    </row>
    <row r="217" spans="1:27">
      <c r="A217" s="2112">
        <v>46</v>
      </c>
      <c r="B217" s="2313"/>
      <c r="C217" s="2313"/>
      <c r="D217" s="2317">
        <f t="shared" si="11"/>
        <v>2030</v>
      </c>
      <c r="E217" s="2317"/>
      <c r="F217" s="2317"/>
      <c r="G217" s="2317"/>
      <c r="H217" s="2317" t="s">
        <v>315</v>
      </c>
      <c r="I217" s="2317"/>
      <c r="J217" s="2317"/>
      <c r="K217" s="2317"/>
      <c r="L217" s="2317"/>
      <c r="M217" s="2317"/>
      <c r="N217" s="2317"/>
      <c r="O217" s="2317"/>
      <c r="P217" s="2318">
        <v>0</v>
      </c>
      <c r="Q217" s="2319"/>
      <c r="R217" s="2319"/>
      <c r="S217" s="2319"/>
      <c r="T217" s="2116">
        <f>ROUND(IPMT(($AA$3%+0.35%)/11,1,$D$219-$D$208+1,$P$220-(SUM($P$4:P216)))*-1,2)</f>
        <v>0</v>
      </c>
      <c r="U217" s="2116"/>
      <c r="V217" s="2116"/>
      <c r="W217" s="2116"/>
      <c r="X217" s="783"/>
      <c r="Y217" s="783"/>
      <c r="Z217" s="783"/>
      <c r="AA217" s="783"/>
    </row>
    <row r="218" spans="1:27">
      <c r="A218" s="2112">
        <v>47</v>
      </c>
      <c r="B218" s="2313"/>
      <c r="C218" s="2313"/>
      <c r="D218" s="2317">
        <f t="shared" si="11"/>
        <v>2030</v>
      </c>
      <c r="E218" s="2317"/>
      <c r="F218" s="2317"/>
      <c r="G218" s="2317"/>
      <c r="H218" s="2317" t="s">
        <v>316</v>
      </c>
      <c r="I218" s="2317"/>
      <c r="J218" s="2317"/>
      <c r="K218" s="2317"/>
      <c r="L218" s="2317"/>
      <c r="M218" s="2317"/>
      <c r="N218" s="2317"/>
      <c r="O218" s="2317"/>
      <c r="P218" s="2318">
        <v>0</v>
      </c>
      <c r="Q218" s="2319"/>
      <c r="R218" s="2319"/>
      <c r="S218" s="2319"/>
      <c r="T218" s="2116">
        <f>ROUND(IPMT(($AA$3%+0.35%)/11,1,$D$219-$D$208+1,$P$220-(SUM($P$4:P217)))*-1,2)</f>
        <v>0</v>
      </c>
      <c r="U218" s="2116"/>
      <c r="V218" s="2116"/>
      <c r="W218" s="2116"/>
      <c r="X218" s="783"/>
      <c r="Y218" s="783"/>
      <c r="Z218" s="783"/>
      <c r="AA218" s="783"/>
    </row>
    <row r="219" spans="1:27">
      <c r="A219" s="2112">
        <v>48</v>
      </c>
      <c r="B219" s="2313"/>
      <c r="C219" s="2313"/>
      <c r="D219" s="2332">
        <f t="shared" si="11"/>
        <v>2030</v>
      </c>
      <c r="E219" s="2332"/>
      <c r="F219" s="2332"/>
      <c r="G219" s="2332"/>
      <c r="H219" s="2332" t="s">
        <v>317</v>
      </c>
      <c r="I219" s="2332"/>
      <c r="J219" s="2332"/>
      <c r="K219" s="2332"/>
      <c r="L219" s="2332"/>
      <c r="M219" s="2332"/>
      <c r="N219" s="2332"/>
      <c r="O219" s="2332"/>
      <c r="P219" s="2342">
        <v>0</v>
      </c>
      <c r="Q219" s="2343"/>
      <c r="R219" s="2343"/>
      <c r="S219" s="2343"/>
      <c r="T219" s="2111">
        <f>ROUND(IPMT(($AA$3%+0.35%)/11,1,$D$219-$D$208+1,$P$220-(SUM($P$4:P218)))*-1,2)</f>
        <v>0</v>
      </c>
      <c r="U219" s="2111"/>
      <c r="V219" s="2111"/>
      <c r="W219" s="2111"/>
      <c r="X219" s="783"/>
      <c r="Y219" s="783"/>
      <c r="Z219" s="2324">
        <f>SUM(T208:W219)</f>
        <v>3014.38</v>
      </c>
      <c r="AA219" s="2325"/>
    </row>
    <row r="220" spans="1:27" ht="14.25">
      <c r="A220" s="2334" t="s">
        <v>318</v>
      </c>
      <c r="B220" s="2335"/>
      <c r="C220" s="2335"/>
      <c r="D220" s="2335"/>
      <c r="E220" s="2335"/>
      <c r="F220" s="2335"/>
      <c r="G220" s="2335"/>
      <c r="H220" s="2335"/>
      <c r="I220" s="2335"/>
      <c r="J220" s="2335"/>
      <c r="K220" s="2335"/>
      <c r="L220" s="2335"/>
      <c r="M220" s="2335"/>
      <c r="N220" s="2335"/>
      <c r="O220" s="2336"/>
      <c r="P220" s="2337">
        <f>SUM(P4:P219)</f>
        <v>4406753</v>
      </c>
      <c r="Q220" s="2338"/>
      <c r="R220" s="2338"/>
      <c r="S220" s="2339"/>
      <c r="T220" s="2123">
        <f>SUM(T4:T219)</f>
        <v>3113954.9771363609</v>
      </c>
      <c r="U220" s="2340"/>
      <c r="V220" s="2338"/>
      <c r="W220" s="2339"/>
      <c r="X220" s="783"/>
      <c r="Y220" s="783"/>
      <c r="Z220" s="783"/>
      <c r="AA220" s="783"/>
    </row>
    <row r="221" spans="1:27">
      <c r="A221" s="2341"/>
      <c r="B221" s="2341"/>
      <c r="C221" s="2341"/>
      <c r="D221" s="2341"/>
      <c r="E221" s="2341"/>
      <c r="F221" s="2341"/>
      <c r="G221" s="2341"/>
      <c r="H221" s="2341"/>
      <c r="I221" s="2341"/>
      <c r="J221" s="2341"/>
      <c r="K221" s="2341"/>
      <c r="L221" s="2341"/>
      <c r="M221" s="2341"/>
      <c r="N221" s="2341"/>
      <c r="O221" s="2341"/>
      <c r="P221" s="2341"/>
      <c r="Q221" s="2341"/>
      <c r="R221" s="2341"/>
      <c r="S221" s="2341"/>
      <c r="T221" s="2341"/>
      <c r="U221" s="2341"/>
      <c r="V221" s="2341"/>
      <c r="W221" s="2341"/>
      <c r="X221" s="783"/>
      <c r="Y221" s="784"/>
      <c r="Z221" s="784"/>
      <c r="AA221" s="784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A74"/>
  <sheetViews>
    <sheetView view="pageBreakPreview" topLeftCell="K1" zoomScale="85" zoomScaleNormal="85" zoomScaleSheetLayoutView="85" workbookViewId="0">
      <selection activeCell="M1" sqref="M1:R1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17" customWidth="1"/>
    <col min="5" max="5" width="15.85546875" style="117" customWidth="1"/>
    <col min="6" max="6" width="1.42578125" style="117" customWidth="1"/>
    <col min="7" max="7" width="16.7109375" style="117" customWidth="1"/>
    <col min="8" max="9" width="16.42578125" style="117" customWidth="1"/>
    <col min="10" max="11" width="16.28515625" style="117" customWidth="1"/>
    <col min="12" max="12" width="16.5703125" style="117" customWidth="1"/>
    <col min="13" max="16" width="15.7109375" style="117" customWidth="1"/>
    <col min="17" max="17" width="15.85546875" style="76" customWidth="1"/>
    <col min="18" max="21" width="15.85546875" style="38" customWidth="1"/>
    <col min="22" max="24" width="15.85546875" style="38" hidden="1" customWidth="1"/>
    <col min="25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182" t="s">
        <v>477</v>
      </c>
      <c r="N1" s="1182"/>
      <c r="O1" s="1182"/>
      <c r="P1" s="1182"/>
      <c r="Q1" s="1190"/>
      <c r="R1" s="1190"/>
    </row>
    <row r="2" spans="1:25" ht="12.75"/>
    <row r="3" spans="1:25" ht="35.25">
      <c r="B3" s="1183" t="s">
        <v>454</v>
      </c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</row>
    <row r="4" spans="1:25" ht="13.5" thickBot="1"/>
    <row r="5" spans="1:25" ht="13.5" thickTop="1">
      <c r="B5" s="1191" t="s">
        <v>196</v>
      </c>
      <c r="C5" s="1193" t="s">
        <v>0</v>
      </c>
      <c r="D5" s="1195" t="s">
        <v>197</v>
      </c>
      <c r="E5" s="1195" t="s">
        <v>198</v>
      </c>
      <c r="F5" s="1197"/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689"/>
      <c r="T5" s="689"/>
      <c r="U5" s="689"/>
      <c r="V5" s="689"/>
      <c r="W5" s="689"/>
      <c r="X5" s="689"/>
      <c r="Y5" s="886"/>
    </row>
    <row r="6" spans="1:25" ht="12.75">
      <c r="B6" s="1192"/>
      <c r="C6" s="1194"/>
      <c r="D6" s="1196"/>
      <c r="E6" s="1196"/>
      <c r="F6" s="118">
        <v>2012</v>
      </c>
      <c r="G6" s="887">
        <f t="shared" ref="G6:R6" si="0">F6+1</f>
        <v>2013</v>
      </c>
      <c r="H6" s="887">
        <f t="shared" si="0"/>
        <v>2014</v>
      </c>
      <c r="I6" s="887">
        <f t="shared" si="0"/>
        <v>2015</v>
      </c>
      <c r="J6" s="887">
        <f t="shared" si="0"/>
        <v>2016</v>
      </c>
      <c r="K6" s="887">
        <f t="shared" si="0"/>
        <v>2017</v>
      </c>
      <c r="L6" s="887">
        <f t="shared" si="0"/>
        <v>2018</v>
      </c>
      <c r="M6" s="887">
        <f t="shared" si="0"/>
        <v>2019</v>
      </c>
      <c r="N6" s="887">
        <f t="shared" si="0"/>
        <v>2020</v>
      </c>
      <c r="O6" s="887">
        <f t="shared" si="0"/>
        <v>2021</v>
      </c>
      <c r="P6" s="887">
        <f t="shared" si="0"/>
        <v>2022</v>
      </c>
      <c r="Q6" s="887">
        <f t="shared" si="0"/>
        <v>2023</v>
      </c>
      <c r="R6" s="887">
        <f t="shared" si="0"/>
        <v>2024</v>
      </c>
      <c r="S6" s="887">
        <f t="shared" ref="S6:X6" si="1">R6+1</f>
        <v>2025</v>
      </c>
      <c r="T6" s="887">
        <f t="shared" si="1"/>
        <v>2026</v>
      </c>
      <c r="U6" s="887">
        <f t="shared" si="1"/>
        <v>2027</v>
      </c>
      <c r="V6" s="118">
        <f t="shared" si="1"/>
        <v>2028</v>
      </c>
      <c r="W6" s="118">
        <f t="shared" si="1"/>
        <v>2029</v>
      </c>
      <c r="X6" s="118">
        <f t="shared" si="1"/>
        <v>2030</v>
      </c>
    </row>
    <row r="7" spans="1:25" ht="12.75">
      <c r="B7" s="78"/>
      <c r="C7" s="79"/>
      <c r="D7" s="119"/>
      <c r="E7" s="119"/>
      <c r="F7" s="119"/>
      <c r="G7" s="119"/>
      <c r="H7" s="120"/>
      <c r="I7" s="121"/>
      <c r="J7" s="121"/>
      <c r="K7" s="121"/>
      <c r="L7" s="121"/>
      <c r="M7" s="121"/>
      <c r="N7" s="121"/>
      <c r="O7" s="121"/>
      <c r="P7" s="121"/>
      <c r="Q7" s="121"/>
      <c r="R7" s="497"/>
      <c r="S7" s="497"/>
      <c r="T7" s="497"/>
      <c r="U7" s="497"/>
      <c r="V7" s="497"/>
      <c r="W7" s="497"/>
      <c r="X7" s="497"/>
    </row>
    <row r="8" spans="1:25" s="493" customFormat="1" ht="26.25" customHeight="1">
      <c r="A8" s="76"/>
      <c r="B8" s="85">
        <v>1</v>
      </c>
      <c r="C8" s="874" t="s">
        <v>199</v>
      </c>
      <c r="D8" s="87"/>
      <c r="E8" s="87"/>
      <c r="F8" s="480">
        <f>SUM(F9:F24)</f>
        <v>698867</v>
      </c>
      <c r="G8" s="480">
        <f t="shared" ref="G8:R8" si="2">SUM(G9:G24)</f>
        <v>660865</v>
      </c>
      <c r="H8" s="480">
        <f t="shared" si="2"/>
        <v>601396</v>
      </c>
      <c r="I8" s="480">
        <f t="shared" si="2"/>
        <v>1276341</v>
      </c>
      <c r="J8" s="480">
        <f t="shared" si="2"/>
        <v>1649637</v>
      </c>
      <c r="K8" s="480">
        <f t="shared" si="2"/>
        <v>1620325</v>
      </c>
      <c r="L8" s="480">
        <f t="shared" si="2"/>
        <v>1569330</v>
      </c>
      <c r="M8" s="480">
        <f t="shared" si="2"/>
        <v>1472512</v>
      </c>
      <c r="N8" s="480">
        <f t="shared" si="2"/>
        <v>1452169</v>
      </c>
      <c r="O8" s="480">
        <f t="shared" si="2"/>
        <v>1452169</v>
      </c>
      <c r="P8" s="480">
        <f t="shared" si="2"/>
        <v>1452169</v>
      </c>
      <c r="Q8" s="480">
        <f t="shared" si="2"/>
        <v>1452169</v>
      </c>
      <c r="R8" s="480">
        <f t="shared" si="2"/>
        <v>1452169</v>
      </c>
      <c r="S8" s="480">
        <f t="shared" ref="S8" si="3">SUM(S9:S24)</f>
        <v>1451327</v>
      </c>
      <c r="T8" s="480">
        <f t="shared" ref="T8" si="4">SUM(T9:T24)</f>
        <v>830769</v>
      </c>
      <c r="U8" s="480">
        <f t="shared" ref="U8:X8" si="5">SUM(U9:U24)</f>
        <v>830770</v>
      </c>
      <c r="V8" s="480">
        <f t="shared" si="5"/>
        <v>0</v>
      </c>
      <c r="W8" s="480">
        <f t="shared" si="5"/>
        <v>0</v>
      </c>
      <c r="X8" s="480">
        <f t="shared" si="5"/>
        <v>0</v>
      </c>
    </row>
    <row r="9" spans="1:25" s="493" customFormat="1" ht="12.75">
      <c r="A9" s="76"/>
      <c r="B9" s="88" t="s">
        <v>17</v>
      </c>
      <c r="C9" s="89" t="s">
        <v>200</v>
      </c>
      <c r="D9" s="90">
        <v>518029</v>
      </c>
      <c r="E9" s="91">
        <v>2004</v>
      </c>
      <c r="F9" s="484">
        <f>'HSZ do złotówek'!G14</f>
        <v>57559</v>
      </c>
      <c r="G9" s="484">
        <f>'HSZ do złotówek'!I14</f>
        <v>57557</v>
      </c>
      <c r="H9" s="488">
        <f>'HSZ do złotówek'!K14</f>
        <v>0</v>
      </c>
      <c r="I9" s="488">
        <f>'HSZ do złotówek'!M14</f>
        <v>0</v>
      </c>
      <c r="J9" s="488">
        <f>'HSZ do złotówek'!O14</f>
        <v>0</v>
      </c>
      <c r="K9" s="488">
        <f>'HSZ do złotówek'!Q14</f>
        <v>0</v>
      </c>
      <c r="L9" s="488">
        <f>'HSZ do złotówek'!S14</f>
        <v>0</v>
      </c>
      <c r="M9" s="488">
        <f>'HSZ do złotówek'!U14</f>
        <v>0</v>
      </c>
      <c r="N9" s="488">
        <f>'HSZ do złotówek'!W14</f>
        <v>0</v>
      </c>
      <c r="O9" s="488">
        <f>'HSZ do złotówek'!Y14</f>
        <v>0</v>
      </c>
      <c r="P9" s="488">
        <f>'HSZ do złotówek'!AA14</f>
        <v>0</v>
      </c>
      <c r="Q9" s="488">
        <f>'HSZ do złotówek'!AC14</f>
        <v>0</v>
      </c>
      <c r="R9" s="498">
        <f>'HSZ do złotówek'!AE14</f>
        <v>0</v>
      </c>
      <c r="S9" s="498">
        <f>'HSZ do złotówek'!AF14</f>
        <v>0</v>
      </c>
      <c r="T9" s="498">
        <f>'HSZ do złotówek'!AG14</f>
        <v>0</v>
      </c>
      <c r="U9" s="498">
        <f>'HSZ do złotówek'!AH14</f>
        <v>0</v>
      </c>
      <c r="V9" s="498">
        <f>'HSZ do złotówek'!AI14</f>
        <v>0</v>
      </c>
      <c r="W9" s="498">
        <f>'HSZ do złotówek'!AJ14</f>
        <v>0</v>
      </c>
      <c r="X9" s="498">
        <f>'HSZ do złotówek'!AK14</f>
        <v>0</v>
      </c>
    </row>
    <row r="10" spans="1:25" s="493" customFormat="1" ht="12.75">
      <c r="A10" s="76"/>
      <c r="B10" s="88" t="s">
        <v>18</v>
      </c>
      <c r="C10" s="89" t="s">
        <v>201</v>
      </c>
      <c r="D10" s="90">
        <v>1498996</v>
      </c>
      <c r="E10" s="91">
        <v>2005</v>
      </c>
      <c r="F10" s="484">
        <f>'HSZ do złotówek'!G15</f>
        <v>199880</v>
      </c>
      <c r="G10" s="484">
        <f>'HSZ do złotówek'!I15</f>
        <v>199880</v>
      </c>
      <c r="H10" s="488">
        <f>'HSZ do złotówek'!K15</f>
        <v>199880</v>
      </c>
      <c r="I10" s="488">
        <f>'HSZ do złotówek'!M15</f>
        <v>199776</v>
      </c>
      <c r="J10" s="488">
        <f>'HSZ do złotówek'!O15</f>
        <v>0</v>
      </c>
      <c r="K10" s="488">
        <f>'HSZ do złotówek'!Q15</f>
        <v>0</v>
      </c>
      <c r="L10" s="488">
        <f>'HSZ do złotówek'!S15</f>
        <v>0</v>
      </c>
      <c r="M10" s="488">
        <f>'HSZ do złotówek'!U15</f>
        <v>0</v>
      </c>
      <c r="N10" s="488">
        <f>'HSZ do złotówek'!W15</f>
        <v>0</v>
      </c>
      <c r="O10" s="488">
        <f>'HSZ do złotówek'!Y15</f>
        <v>0</v>
      </c>
      <c r="P10" s="488">
        <f>'HSZ do złotówek'!AA15</f>
        <v>0</v>
      </c>
      <c r="Q10" s="488">
        <f>'HSZ do złotówek'!AC15</f>
        <v>0</v>
      </c>
      <c r="R10" s="498">
        <f>'HSZ do złotówek'!AE15</f>
        <v>0</v>
      </c>
      <c r="S10" s="498">
        <f>'HSZ do złotówek'!AF15</f>
        <v>0</v>
      </c>
      <c r="T10" s="498">
        <f>'HSZ do złotówek'!AG15</f>
        <v>0</v>
      </c>
      <c r="U10" s="498">
        <f>'HSZ do złotówek'!AH15</f>
        <v>0</v>
      </c>
      <c r="V10" s="498">
        <f>'HSZ do złotówek'!AI15</f>
        <v>0</v>
      </c>
      <c r="W10" s="498">
        <f>'HSZ do złotówek'!AJ15</f>
        <v>0</v>
      </c>
      <c r="X10" s="498">
        <f>'HSZ do złotówek'!AK15</f>
        <v>0</v>
      </c>
    </row>
    <row r="11" spans="1:25" s="493" customFormat="1" ht="12.75">
      <c r="A11" s="76"/>
      <c r="B11" s="88" t="s">
        <v>25</v>
      </c>
      <c r="C11" s="89" t="s">
        <v>202</v>
      </c>
      <c r="D11" s="90">
        <v>138349</v>
      </c>
      <c r="E11" s="91">
        <v>2008</v>
      </c>
      <c r="F11" s="484">
        <f>'HSZ do złotówek'!G16</f>
        <v>15372</v>
      </c>
      <c r="G11" s="484">
        <f>'HSZ do złotówek'!I16</f>
        <v>15372</v>
      </c>
      <c r="H11" s="488">
        <f>'HSZ do złotówek'!K16</f>
        <v>15372</v>
      </c>
      <c r="I11" s="488">
        <f>'HSZ do złotówek'!M16</f>
        <v>15372</v>
      </c>
      <c r="J11" s="488">
        <f>'HSZ do złotówek'!O16</f>
        <v>15372</v>
      </c>
      <c r="K11" s="488">
        <f>'HSZ do złotówek'!Q16</f>
        <v>15372</v>
      </c>
      <c r="L11" s="488">
        <f>'HSZ do złotówek'!S16</f>
        <v>11529</v>
      </c>
      <c r="M11" s="488">
        <f>'HSZ do złotówek'!U16</f>
        <v>0</v>
      </c>
      <c r="N11" s="488">
        <f>'HSZ do złotówek'!W16</f>
        <v>0</v>
      </c>
      <c r="O11" s="488">
        <f>'HSZ do złotówek'!Y16</f>
        <v>0</v>
      </c>
      <c r="P11" s="488">
        <f>'HSZ do złotówek'!AA16</f>
        <v>0</v>
      </c>
      <c r="Q11" s="488">
        <f>'HSZ do złotówek'!AC16</f>
        <v>0</v>
      </c>
      <c r="R11" s="498">
        <f>'HSZ do złotówek'!AE16</f>
        <v>0</v>
      </c>
      <c r="S11" s="498">
        <f>'HSZ do złotówek'!AF16</f>
        <v>0</v>
      </c>
      <c r="T11" s="498">
        <f>'HSZ do złotówek'!AG16</f>
        <v>0</v>
      </c>
      <c r="U11" s="498">
        <f>'HSZ do złotówek'!AH16</f>
        <v>0</v>
      </c>
      <c r="V11" s="498">
        <f>'HSZ do złotówek'!AI16</f>
        <v>0</v>
      </c>
      <c r="W11" s="498">
        <f>'HSZ do złotówek'!AJ16</f>
        <v>0</v>
      </c>
      <c r="X11" s="498">
        <f>'HSZ do złotówek'!AK16</f>
        <v>0</v>
      </c>
    </row>
    <row r="12" spans="1:25" s="493" customFormat="1" ht="12.75">
      <c r="A12" s="76"/>
      <c r="B12" s="88" t="s">
        <v>203</v>
      </c>
      <c r="C12" s="89" t="s">
        <v>204</v>
      </c>
      <c r="D12" s="90">
        <v>499709</v>
      </c>
      <c r="E12" s="91">
        <v>2007</v>
      </c>
      <c r="F12" s="484">
        <f>'HSZ do złotówek'!G17</f>
        <v>47500</v>
      </c>
      <c r="G12" s="484">
        <f>'HSZ do złotówek'!I17</f>
        <v>47500</v>
      </c>
      <c r="H12" s="488">
        <f>'HSZ do złotówek'!K17</f>
        <v>47500</v>
      </c>
      <c r="I12" s="488">
        <f>'HSZ do złotówek'!M17</f>
        <v>47500</v>
      </c>
      <c r="J12" s="488">
        <f>'HSZ do złotówek'!O17</f>
        <v>47500</v>
      </c>
      <c r="K12" s="488">
        <f>'HSZ do złotówek'!Q17</f>
        <v>47500</v>
      </c>
      <c r="L12" s="488">
        <f>'HSZ do złotówek'!S17</f>
        <v>47500</v>
      </c>
      <c r="M12" s="488">
        <f>'HSZ do złotówek'!U17</f>
        <v>0</v>
      </c>
      <c r="N12" s="488">
        <f>'HSZ do złotówek'!W17</f>
        <v>0</v>
      </c>
      <c r="O12" s="488">
        <f>'HSZ do złotówek'!Y17</f>
        <v>0</v>
      </c>
      <c r="P12" s="488">
        <f>'HSZ do złotówek'!AA17</f>
        <v>0</v>
      </c>
      <c r="Q12" s="488">
        <f>'HSZ do złotówek'!AC17</f>
        <v>0</v>
      </c>
      <c r="R12" s="498">
        <f>'HSZ do złotówek'!AE17</f>
        <v>0</v>
      </c>
      <c r="S12" s="498">
        <f>'HSZ do złotówek'!AF17</f>
        <v>0</v>
      </c>
      <c r="T12" s="498">
        <f>'HSZ do złotówek'!AG17</f>
        <v>0</v>
      </c>
      <c r="U12" s="498">
        <f>'HSZ do złotówek'!AH17</f>
        <v>0</v>
      </c>
      <c r="V12" s="498">
        <f>'HSZ do złotówek'!AI17</f>
        <v>0</v>
      </c>
      <c r="W12" s="498">
        <f>'HSZ do złotówek'!AJ17</f>
        <v>0</v>
      </c>
      <c r="X12" s="498">
        <f>'HSZ do złotówek'!AK17</f>
        <v>0</v>
      </c>
    </row>
    <row r="13" spans="1:25" s="493" customFormat="1" ht="12.75">
      <c r="A13" s="76"/>
      <c r="B13" s="88" t="s">
        <v>205</v>
      </c>
      <c r="C13" s="89" t="s">
        <v>206</v>
      </c>
      <c r="D13" s="90">
        <v>307667</v>
      </c>
      <c r="E13" s="91">
        <v>2003</v>
      </c>
      <c r="F13" s="484">
        <f>'HSZ do złotówek'!G18</f>
        <v>38000</v>
      </c>
      <c r="G13" s="484">
        <f>'HSZ do złotówek'!I18</f>
        <v>0</v>
      </c>
      <c r="H13" s="488">
        <f>'HSZ do złotówek'!K18</f>
        <v>0</v>
      </c>
      <c r="I13" s="488">
        <f>'HSZ do złotówek'!M18</f>
        <v>0</v>
      </c>
      <c r="J13" s="488">
        <f>'HSZ do złotówek'!O18</f>
        <v>0</v>
      </c>
      <c r="K13" s="488">
        <f>'HSZ do złotówek'!Q18</f>
        <v>0</v>
      </c>
      <c r="L13" s="488">
        <f>'HSZ do złotówek'!S18</f>
        <v>0</v>
      </c>
      <c r="M13" s="488">
        <f>'HSZ do złotówek'!U18</f>
        <v>0</v>
      </c>
      <c r="N13" s="488">
        <f>'HSZ do złotówek'!W18</f>
        <v>0</v>
      </c>
      <c r="O13" s="488">
        <f>'HSZ do złotówek'!Y18</f>
        <v>0</v>
      </c>
      <c r="P13" s="488">
        <f>'HSZ do złotówek'!AA18</f>
        <v>0</v>
      </c>
      <c r="Q13" s="488">
        <f>'HSZ do złotówek'!AC18</f>
        <v>0</v>
      </c>
      <c r="R13" s="498">
        <f>'HSZ do złotówek'!AE18</f>
        <v>0</v>
      </c>
      <c r="S13" s="498">
        <f>'HSZ do złotówek'!AF18</f>
        <v>0</v>
      </c>
      <c r="T13" s="498">
        <f>'HSZ do złotówek'!AG18</f>
        <v>0</v>
      </c>
      <c r="U13" s="498">
        <f>'HSZ do złotówek'!AH18</f>
        <v>0</v>
      </c>
      <c r="V13" s="498">
        <f>'HSZ do złotówek'!AI18</f>
        <v>0</v>
      </c>
      <c r="W13" s="498">
        <f>'HSZ do złotówek'!AJ18</f>
        <v>0</v>
      </c>
      <c r="X13" s="498">
        <f>'HSZ do złotówek'!AK18</f>
        <v>0</v>
      </c>
    </row>
    <row r="14" spans="1:25" s="493" customFormat="1" ht="12.75">
      <c r="A14" s="76"/>
      <c r="B14" s="88" t="s">
        <v>207</v>
      </c>
      <c r="C14" s="89" t="s">
        <v>208</v>
      </c>
      <c r="D14" s="90">
        <v>366174</v>
      </c>
      <c r="E14" s="91">
        <v>2008</v>
      </c>
      <c r="F14" s="484">
        <f>'HSZ do złotówek'!G19</f>
        <v>37000</v>
      </c>
      <c r="G14" s="484">
        <f>'HSZ do złotówek'!I19</f>
        <v>37000</v>
      </c>
      <c r="H14" s="488">
        <f>'HSZ do złotówek'!K19</f>
        <v>35087</v>
      </c>
      <c r="I14" s="488">
        <f>'HSZ do złotówek'!M19</f>
        <v>40686</v>
      </c>
      <c r="J14" s="488">
        <f>'HSZ do złotówek'!O19</f>
        <v>40686</v>
      </c>
      <c r="K14" s="488">
        <f>'HSZ do złotówek'!Q19</f>
        <v>40686</v>
      </c>
      <c r="L14" s="488">
        <f>'HSZ do złotówek'!S19</f>
        <v>40686</v>
      </c>
      <c r="M14" s="488">
        <f>'HSZ do złotówek'!U19</f>
        <v>20343</v>
      </c>
      <c r="N14" s="488">
        <f>'HSZ do złotówek'!W19</f>
        <v>0</v>
      </c>
      <c r="O14" s="488">
        <f>'HSZ do złotówek'!Y19</f>
        <v>0</v>
      </c>
      <c r="P14" s="488">
        <f>'HSZ do złotówek'!AA19</f>
        <v>0</v>
      </c>
      <c r="Q14" s="488">
        <f>'HSZ do złotówek'!AC19</f>
        <v>0</v>
      </c>
      <c r="R14" s="498">
        <f>'HSZ do złotówek'!AE19</f>
        <v>0</v>
      </c>
      <c r="S14" s="498">
        <f>'HSZ do złotówek'!AF19</f>
        <v>0</v>
      </c>
      <c r="T14" s="498">
        <f>'HSZ do złotówek'!AG19</f>
        <v>0</v>
      </c>
      <c r="U14" s="498">
        <f>'HSZ do złotówek'!AH19</f>
        <v>0</v>
      </c>
      <c r="V14" s="498">
        <f>'HSZ do złotówek'!AI19</f>
        <v>0</v>
      </c>
      <c r="W14" s="498">
        <f>'HSZ do złotówek'!AJ19</f>
        <v>0</v>
      </c>
      <c r="X14" s="498">
        <f>'HSZ do złotówek'!AK19</f>
        <v>0</v>
      </c>
    </row>
    <row r="15" spans="1:25" s="493" customFormat="1" ht="12.75">
      <c r="A15" s="76"/>
      <c r="B15" s="88" t="s">
        <v>209</v>
      </c>
      <c r="C15" s="92" t="s">
        <v>210</v>
      </c>
      <c r="D15" s="90">
        <v>562761</v>
      </c>
      <c r="E15" s="91">
        <v>2005</v>
      </c>
      <c r="F15" s="484">
        <f>'HSZ do złotówek'!G20</f>
        <v>62532</v>
      </c>
      <c r="G15" s="484">
        <f>'HSZ do złotówek'!I20</f>
        <v>62532</v>
      </c>
      <c r="H15" s="488">
        <f>'HSZ do złotówek'!K20</f>
        <v>62532</v>
      </c>
      <c r="I15" s="488">
        <f>'HSZ do złotówek'!M20</f>
        <v>62532</v>
      </c>
      <c r="J15" s="488">
        <f>'HSZ do złotówek'!O20</f>
        <v>15606</v>
      </c>
      <c r="K15" s="488">
        <f>'HSZ do złotówek'!Q20</f>
        <v>0</v>
      </c>
      <c r="L15" s="488">
        <f>'HSZ do złotówek'!S20</f>
        <v>0</v>
      </c>
      <c r="M15" s="488">
        <f>'HSZ do złotówek'!U20</f>
        <v>0</v>
      </c>
      <c r="N15" s="488">
        <f>'HSZ do złotówek'!W20</f>
        <v>0</v>
      </c>
      <c r="O15" s="488">
        <f>'HSZ do złotówek'!Y20</f>
        <v>0</v>
      </c>
      <c r="P15" s="488">
        <f>'HSZ do złotówek'!AA20</f>
        <v>0</v>
      </c>
      <c r="Q15" s="488">
        <f>'HSZ do złotówek'!AC20</f>
        <v>0</v>
      </c>
      <c r="R15" s="498">
        <f>'HSZ do złotówek'!AE20</f>
        <v>0</v>
      </c>
      <c r="S15" s="498">
        <f>'HSZ do złotówek'!AF20</f>
        <v>0</v>
      </c>
      <c r="T15" s="498">
        <f>'HSZ do złotówek'!AG20</f>
        <v>0</v>
      </c>
      <c r="U15" s="498">
        <f>'HSZ do złotówek'!AH20</f>
        <v>0</v>
      </c>
      <c r="V15" s="498">
        <f>'HSZ do złotówek'!AI20</f>
        <v>0</v>
      </c>
      <c r="W15" s="498">
        <f>'HSZ do złotówek'!AJ20</f>
        <v>0</v>
      </c>
      <c r="X15" s="498">
        <f>'HSZ do złotówek'!AK20</f>
        <v>0</v>
      </c>
    </row>
    <row r="16" spans="1:25" s="493" customFormat="1" ht="12.75">
      <c r="A16" s="76"/>
      <c r="B16" s="88" t="s">
        <v>211</v>
      </c>
      <c r="C16" s="92" t="s">
        <v>212</v>
      </c>
      <c r="D16" s="90">
        <v>917338</v>
      </c>
      <c r="E16" s="91">
        <v>2006</v>
      </c>
      <c r="F16" s="484">
        <f>'HSZ do złotówek'!G21</f>
        <v>162720</v>
      </c>
      <c r="G16" s="484">
        <f>'HSZ do złotówek'!I21</f>
        <v>162720</v>
      </c>
      <c r="H16" s="488">
        <f>'HSZ do złotówek'!K21</f>
        <v>22378</v>
      </c>
      <c r="I16" s="488">
        <f>'HSZ do złotówek'!M21</f>
        <v>0</v>
      </c>
      <c r="J16" s="488">
        <f>'HSZ do złotówek'!O21</f>
        <v>0</v>
      </c>
      <c r="K16" s="488">
        <f>'HSZ do złotówek'!Q21</f>
        <v>0</v>
      </c>
      <c r="L16" s="488">
        <f>'HSZ do złotówek'!S21</f>
        <v>0</v>
      </c>
      <c r="M16" s="488">
        <f>'HSZ do złotówek'!U21</f>
        <v>0</v>
      </c>
      <c r="N16" s="488">
        <f>'HSZ do złotówek'!W21</f>
        <v>0</v>
      </c>
      <c r="O16" s="488">
        <f>'HSZ do złotówek'!Y21</f>
        <v>0</v>
      </c>
      <c r="P16" s="488">
        <f>'HSZ do złotówek'!AA21</f>
        <v>0</v>
      </c>
      <c r="Q16" s="488">
        <f>'HSZ do złotówek'!AC21</f>
        <v>0</v>
      </c>
      <c r="R16" s="498">
        <f>'HSZ do złotówek'!AE21</f>
        <v>0</v>
      </c>
      <c r="S16" s="498">
        <f>'HSZ do złotówek'!AF21</f>
        <v>0</v>
      </c>
      <c r="T16" s="498">
        <f>'HSZ do złotówek'!AG21</f>
        <v>0</v>
      </c>
      <c r="U16" s="498">
        <f>'HSZ do złotówek'!AH21</f>
        <v>0</v>
      </c>
      <c r="V16" s="498">
        <f>'HSZ do złotówek'!AI21</f>
        <v>0</v>
      </c>
      <c r="W16" s="498">
        <f>'HSZ do złotówek'!AJ21</f>
        <v>0</v>
      </c>
      <c r="X16" s="498">
        <f>'HSZ do złotówek'!AK21</f>
        <v>0</v>
      </c>
    </row>
    <row r="17" spans="1:24" s="493" customFormat="1" ht="12.75">
      <c r="A17" s="76"/>
      <c r="B17" s="88" t="s">
        <v>213</v>
      </c>
      <c r="C17" s="92" t="s">
        <v>214</v>
      </c>
      <c r="D17" s="90">
        <v>548278</v>
      </c>
      <c r="E17" s="91">
        <v>2006</v>
      </c>
      <c r="F17" s="484">
        <f>'HSZ do złotówek'!G22</f>
        <v>54824</v>
      </c>
      <c r="G17" s="484">
        <f>'HSZ do złotówek'!I22</f>
        <v>54824</v>
      </c>
      <c r="H17" s="488">
        <f>'HSZ do złotówek'!K22</f>
        <v>54824</v>
      </c>
      <c r="I17" s="488">
        <f>'HSZ do złotówek'!M22</f>
        <v>54824</v>
      </c>
      <c r="J17" s="488">
        <f>'HSZ do złotówek'!O22</f>
        <v>54824</v>
      </c>
      <c r="K17" s="488">
        <f>'HSZ do złotówek'!Q22</f>
        <v>41118</v>
      </c>
      <c r="L17" s="488">
        <f>'HSZ do złotówek'!S22</f>
        <v>0</v>
      </c>
      <c r="M17" s="488">
        <f>'HSZ do złotówek'!U22</f>
        <v>0</v>
      </c>
      <c r="N17" s="488">
        <f>'HSZ do złotówek'!W22</f>
        <v>0</v>
      </c>
      <c r="O17" s="488">
        <f>'HSZ do złotówek'!Y22</f>
        <v>0</v>
      </c>
      <c r="P17" s="488">
        <f>'HSZ do złotówek'!AA22</f>
        <v>0</v>
      </c>
      <c r="Q17" s="488">
        <f>'HSZ do złotówek'!AC22</f>
        <v>0</v>
      </c>
      <c r="R17" s="498">
        <f>'HSZ do złotówek'!AE22</f>
        <v>0</v>
      </c>
      <c r="S17" s="498">
        <f>'HSZ do złotówek'!AF22</f>
        <v>0</v>
      </c>
      <c r="T17" s="498">
        <f>'HSZ do złotówek'!AG22</f>
        <v>0</v>
      </c>
      <c r="U17" s="498">
        <f>'HSZ do złotówek'!AH22</f>
        <v>0</v>
      </c>
      <c r="V17" s="498">
        <f>'HSZ do złotówek'!AI22</f>
        <v>0</v>
      </c>
      <c r="W17" s="498">
        <f>'HSZ do złotówek'!AJ22</f>
        <v>0</v>
      </c>
      <c r="X17" s="498">
        <f>'HSZ do złotówek'!AK22</f>
        <v>0</v>
      </c>
    </row>
    <row r="18" spans="1:24" s="493" customFormat="1" ht="12.75">
      <c r="A18" s="76"/>
      <c r="B18" s="88" t="s">
        <v>215</v>
      </c>
      <c r="C18" s="92" t="s">
        <v>216</v>
      </c>
      <c r="D18" s="90">
        <v>222896</v>
      </c>
      <c r="E18" s="91">
        <v>2007</v>
      </c>
      <c r="F18" s="484">
        <f>'HSZ do złotówek'!G23</f>
        <v>23480</v>
      </c>
      <c r="G18" s="484">
        <f>'HSZ do złotówek'!I23</f>
        <v>23480</v>
      </c>
      <c r="H18" s="488">
        <f>'HSZ do złotówek'!K23</f>
        <v>23480</v>
      </c>
      <c r="I18" s="488">
        <f>'HSZ do złotówek'!M23</f>
        <v>23480</v>
      </c>
      <c r="J18" s="488">
        <f>'HSZ do złotówek'!O23</f>
        <v>23480</v>
      </c>
      <c r="K18" s="488">
        <f>'HSZ do złotówek'!Q23</f>
        <v>23480</v>
      </c>
      <c r="L18" s="488">
        <f>'HSZ do złotówek'!S23</f>
        <v>17446</v>
      </c>
      <c r="M18" s="488">
        <f>'HSZ do złotówek'!U23</f>
        <v>0</v>
      </c>
      <c r="N18" s="488">
        <f>'HSZ do złotówek'!W23</f>
        <v>0</v>
      </c>
      <c r="O18" s="488">
        <f>'HSZ do złotówek'!Y23</f>
        <v>0</v>
      </c>
      <c r="P18" s="488">
        <f>'HSZ do złotówek'!AA23</f>
        <v>0</v>
      </c>
      <c r="Q18" s="488">
        <f>'HSZ do złotówek'!AC23</f>
        <v>0</v>
      </c>
      <c r="R18" s="498">
        <f>'HSZ do złotówek'!AE23</f>
        <v>0</v>
      </c>
      <c r="S18" s="498">
        <f>'HSZ do złotówek'!AF23</f>
        <v>0</v>
      </c>
      <c r="T18" s="498">
        <f>'HSZ do złotówek'!AG23</f>
        <v>0</v>
      </c>
      <c r="U18" s="498">
        <f>'HSZ do złotówek'!AH23</f>
        <v>0</v>
      </c>
      <c r="V18" s="498">
        <f>'HSZ do złotówek'!AI23</f>
        <v>0</v>
      </c>
      <c r="W18" s="498">
        <f>'HSZ do złotówek'!AJ23</f>
        <v>0</v>
      </c>
      <c r="X18" s="498">
        <f>'HSZ do złotówek'!AK23</f>
        <v>0</v>
      </c>
    </row>
    <row r="19" spans="1:24" s="493" customFormat="1" ht="12.75">
      <c r="A19" s="76"/>
      <c r="B19" s="88" t="s">
        <v>217</v>
      </c>
      <c r="C19" s="92" t="s">
        <v>218</v>
      </c>
      <c r="D19" s="90">
        <v>141743.99</v>
      </c>
      <c r="E19" s="91">
        <v>2006</v>
      </c>
      <c r="F19" s="484">
        <f>'HSZ do złotówek'!G24</f>
        <v>0</v>
      </c>
      <c r="G19" s="484">
        <f>'HSZ do złotówek'!I24</f>
        <v>0</v>
      </c>
      <c r="H19" s="488">
        <f>'HSZ do złotówek'!K24</f>
        <v>140343</v>
      </c>
      <c r="I19" s="488">
        <f>'HSZ do złotówek'!M24</f>
        <v>1402</v>
      </c>
      <c r="J19" s="488">
        <f>'HSZ do złotówek'!O24</f>
        <v>0</v>
      </c>
      <c r="K19" s="488">
        <f>'HSZ do złotówek'!Q24</f>
        <v>0</v>
      </c>
      <c r="L19" s="488">
        <f>'HSZ do złotówek'!S24</f>
        <v>0</v>
      </c>
      <c r="M19" s="488">
        <f>'HSZ do złotówek'!U24</f>
        <v>0</v>
      </c>
      <c r="N19" s="488">
        <f>'HSZ do złotówek'!W24</f>
        <v>0</v>
      </c>
      <c r="O19" s="488">
        <f>'HSZ do złotówek'!Y24</f>
        <v>0</v>
      </c>
      <c r="P19" s="488">
        <f>'HSZ do złotówek'!AA24</f>
        <v>0</v>
      </c>
      <c r="Q19" s="488">
        <f>'HSZ do złotówek'!AC24</f>
        <v>0</v>
      </c>
      <c r="R19" s="498">
        <f>'HSZ do złotówek'!AE24</f>
        <v>0</v>
      </c>
      <c r="S19" s="498">
        <f>'HSZ do złotówek'!AF24</f>
        <v>0</v>
      </c>
      <c r="T19" s="498">
        <f>'HSZ do złotówek'!AG24</f>
        <v>0</v>
      </c>
      <c r="U19" s="498">
        <f>'HSZ do złotówek'!AH24</f>
        <v>0</v>
      </c>
      <c r="V19" s="498">
        <f>'HSZ do złotówek'!AI24</f>
        <v>0</v>
      </c>
      <c r="W19" s="498">
        <f>'HSZ do złotówek'!AJ24</f>
        <v>0</v>
      </c>
      <c r="X19" s="498">
        <f>'HSZ do złotówek'!AK24</f>
        <v>0</v>
      </c>
    </row>
    <row r="20" spans="1:24" s="493" customFormat="1" ht="12.75">
      <c r="A20" s="76"/>
      <c r="B20" s="88"/>
      <c r="C20" s="92"/>
      <c r="D20" s="90"/>
      <c r="E20" s="91"/>
      <c r="F20" s="484"/>
      <c r="G20" s="484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98"/>
      <c r="S20" s="498"/>
      <c r="T20" s="498"/>
      <c r="U20" s="498"/>
      <c r="V20" s="498"/>
      <c r="W20" s="498"/>
      <c r="X20" s="498"/>
    </row>
    <row r="21" spans="1:24" s="493" customFormat="1" ht="12.75">
      <c r="A21" s="76"/>
      <c r="B21" s="88" t="s">
        <v>220</v>
      </c>
      <c r="C21" s="850" t="s">
        <v>447</v>
      </c>
      <c r="D21" s="90">
        <f>SUM(I21:X21)+2</f>
        <v>10800000</v>
      </c>
      <c r="E21" s="91">
        <v>2013</v>
      </c>
      <c r="F21" s="484"/>
      <c r="G21" s="484"/>
      <c r="H21" s="488"/>
      <c r="I21" s="488">
        <f>'HSZ do złotówek'!M30</f>
        <v>830769</v>
      </c>
      <c r="J21" s="488">
        <f>'HSZ do złotówek'!O30</f>
        <v>830769</v>
      </c>
      <c r="K21" s="488">
        <f>'HSZ do złotówek'!Q30</f>
        <v>830769</v>
      </c>
      <c r="L21" s="488">
        <f>'HSZ do złotówek'!S30</f>
        <v>830769</v>
      </c>
      <c r="M21" s="488">
        <f>'HSZ do złotówek'!U30</f>
        <v>830769</v>
      </c>
      <c r="N21" s="488">
        <f>'HSZ do złotówek'!W30</f>
        <v>830769</v>
      </c>
      <c r="O21" s="488">
        <f>'HSZ do złotówek'!Y30</f>
        <v>830769</v>
      </c>
      <c r="P21" s="488">
        <f>'HSZ do złotówek'!AA30</f>
        <v>830769</v>
      </c>
      <c r="Q21" s="488">
        <f>'HSZ do złotówek'!AC30</f>
        <v>830769</v>
      </c>
      <c r="R21" s="488">
        <f>'HSZ do złotówek'!AE30</f>
        <v>830769</v>
      </c>
      <c r="S21" s="488">
        <f>'HSZ do złotówek'!AG30</f>
        <v>830769</v>
      </c>
      <c r="T21" s="488">
        <f>'HSZ do złotówek'!AI30</f>
        <v>830769</v>
      </c>
      <c r="U21" s="484">
        <f>'HSZ do złotówek'!AK30-2</f>
        <v>830770</v>
      </c>
      <c r="V21" s="488">
        <f>'HSZ do złotówek'!AM30</f>
        <v>0</v>
      </c>
      <c r="W21" s="488">
        <f>'HSZ do złotówek'!AO30</f>
        <v>0</v>
      </c>
      <c r="X21" s="488">
        <f>'HSZ do złotówek'!AQ30</f>
        <v>0</v>
      </c>
    </row>
    <row r="22" spans="1:24" s="493" customFormat="1" ht="12.75">
      <c r="A22" s="76"/>
      <c r="B22" s="88" t="s">
        <v>340</v>
      </c>
      <c r="C22" s="611" t="str">
        <f>'HSZ do złotówek'!A27</f>
        <v>pożyczka 2013</v>
      </c>
      <c r="D22" s="90">
        <f>SUM(G22:S22)</f>
        <v>2285316</v>
      </c>
      <c r="E22" s="91">
        <v>2013</v>
      </c>
      <c r="F22" s="484">
        <f>'HSZ do złotówek'!G27</f>
        <v>0</v>
      </c>
      <c r="G22" s="484">
        <f>'HSZ do złotówek'!I27</f>
        <v>0</v>
      </c>
      <c r="H22" s="488">
        <f>'HSZ do złotówek'!K27</f>
        <v>0</v>
      </c>
      <c r="I22" s="488">
        <f>'HSZ do złotówek'!M27</f>
        <v>0</v>
      </c>
      <c r="J22" s="488">
        <f>'HSZ do złotówek'!O27</f>
        <v>228532</v>
      </c>
      <c r="K22" s="488">
        <f>'HSZ do złotówek'!Q27</f>
        <v>228532</v>
      </c>
      <c r="L22" s="488">
        <f>'HSZ do złotówek'!S27</f>
        <v>228532</v>
      </c>
      <c r="M22" s="488">
        <f>'HSZ do złotówek'!U27</f>
        <v>228532</v>
      </c>
      <c r="N22" s="488">
        <f>'HSZ do złotówek'!W27</f>
        <v>228532</v>
      </c>
      <c r="O22" s="488">
        <f>'HSZ do złotówek'!Y27</f>
        <v>228532</v>
      </c>
      <c r="P22" s="488">
        <f>'HSZ do złotówek'!AA27</f>
        <v>228532</v>
      </c>
      <c r="Q22" s="488">
        <f>'HSZ do złotówek'!AC27</f>
        <v>228532</v>
      </c>
      <c r="R22" s="498">
        <f>'HSZ do złotówek'!AE27</f>
        <v>228532</v>
      </c>
      <c r="S22" s="498">
        <f>'HSZ do złotówek'!AG27</f>
        <v>228528</v>
      </c>
      <c r="T22" s="498">
        <v>0</v>
      </c>
      <c r="U22" s="498">
        <f>'HSZ do złotówek'!AI27</f>
        <v>0</v>
      </c>
      <c r="V22" s="498">
        <f>'HSZ do złotówek'!AJ27</f>
        <v>0</v>
      </c>
      <c r="W22" s="498">
        <f>'HSZ do złotówek'!AK27</f>
        <v>0</v>
      </c>
      <c r="X22" s="498">
        <f>'HSZ do złotówek'!AL27</f>
        <v>0</v>
      </c>
    </row>
    <row r="23" spans="1:24" s="493" customFormat="1" ht="12.75">
      <c r="A23" s="76"/>
      <c r="B23" s="88" t="s">
        <v>341</v>
      </c>
      <c r="C23" s="611" t="str">
        <f>'HSZ do złotówek'!A28</f>
        <v>pożyczka 2014</v>
      </c>
      <c r="D23" s="90">
        <f>SUM(G23:S23)</f>
        <v>3379957</v>
      </c>
      <c r="E23" s="91">
        <v>2014</v>
      </c>
      <c r="F23" s="484">
        <f>'HSZ do złotówek'!G28</f>
        <v>0</v>
      </c>
      <c r="G23" s="484">
        <f>'HSZ do złotówek'!I28</f>
        <v>0</v>
      </c>
      <c r="H23" s="488">
        <f>'HSZ do złotówek'!K28</f>
        <v>0</v>
      </c>
      <c r="I23" s="488">
        <f>'HSZ do złotówek'!M28</f>
        <v>0</v>
      </c>
      <c r="J23" s="488">
        <f>'HSZ do złotówek'!O28</f>
        <v>337996</v>
      </c>
      <c r="K23" s="488">
        <f>'HSZ do złotówek'!Q28</f>
        <v>337996</v>
      </c>
      <c r="L23" s="488">
        <f>'HSZ do złotówek'!S28</f>
        <v>337996</v>
      </c>
      <c r="M23" s="488">
        <f>'HSZ do złotówek'!U28</f>
        <v>337996</v>
      </c>
      <c r="N23" s="488">
        <f>'HSZ do złotówek'!W28</f>
        <v>337996</v>
      </c>
      <c r="O23" s="488">
        <f>'HSZ do złotówek'!Y28</f>
        <v>337996</v>
      </c>
      <c r="P23" s="488">
        <f>'HSZ do złotówek'!AA28</f>
        <v>337996</v>
      </c>
      <c r="Q23" s="488">
        <f>'HSZ do złotówek'!AC28</f>
        <v>337996</v>
      </c>
      <c r="R23" s="498">
        <f>'HSZ do złotówek'!AE28</f>
        <v>337996</v>
      </c>
      <c r="S23" s="498">
        <f>'HSZ do złotówek'!AG28</f>
        <v>337993</v>
      </c>
      <c r="T23" s="498">
        <v>0</v>
      </c>
      <c r="U23" s="498">
        <f>'HSZ do złotówek'!AI28</f>
        <v>0</v>
      </c>
      <c r="V23" s="498">
        <f>'HSZ do złotówek'!AJ28</f>
        <v>0</v>
      </c>
      <c r="W23" s="498">
        <f>'HSZ do złotówek'!AK28</f>
        <v>0</v>
      </c>
      <c r="X23" s="498">
        <f>'HSZ do złotówek'!AL28</f>
        <v>0</v>
      </c>
    </row>
    <row r="24" spans="1:24" s="493" customFormat="1" ht="12.75">
      <c r="A24" s="76"/>
      <c r="B24" s="88" t="s">
        <v>446</v>
      </c>
      <c r="C24" s="611" t="str">
        <f>'HSZ do złotówek'!A29</f>
        <v>pożyczka 2015</v>
      </c>
      <c r="D24" s="90">
        <f>SUM(J24:S24)</f>
        <v>547885</v>
      </c>
      <c r="E24" s="91">
        <v>2015</v>
      </c>
      <c r="F24" s="484">
        <f>'HSZ do złotówek'!G29</f>
        <v>0</v>
      </c>
      <c r="G24" s="484">
        <f>'HSZ do złotówek'!I29</f>
        <v>0</v>
      </c>
      <c r="H24" s="488">
        <f>'HSZ do złotówek'!K29</f>
        <v>0</v>
      </c>
      <c r="I24" s="488">
        <f>'HSZ do złotówek'!M29</f>
        <v>0</v>
      </c>
      <c r="J24" s="488">
        <f>'HSZ do złotówek'!O29</f>
        <v>54872</v>
      </c>
      <c r="K24" s="488">
        <f>'HSZ do złotówek'!Q29</f>
        <v>54872</v>
      </c>
      <c r="L24" s="488">
        <f>'HSZ do złotówek'!S29</f>
        <v>54872</v>
      </c>
      <c r="M24" s="488">
        <f>'HSZ do złotówek'!U29</f>
        <v>54872</v>
      </c>
      <c r="N24" s="488">
        <f>'HSZ do złotówek'!W29</f>
        <v>54872</v>
      </c>
      <c r="O24" s="488">
        <f>'HSZ do złotówek'!Y29</f>
        <v>54872</v>
      </c>
      <c r="P24" s="488">
        <f>'HSZ do złotówek'!AA29</f>
        <v>54872</v>
      </c>
      <c r="Q24" s="488">
        <f>'HSZ do złotówek'!AC29</f>
        <v>54872</v>
      </c>
      <c r="R24" s="498">
        <f>'HSZ do złotówek'!AE29</f>
        <v>54872</v>
      </c>
      <c r="S24" s="498">
        <f>'HSZ do złotówek'!AG29</f>
        <v>54037</v>
      </c>
      <c r="T24" s="498">
        <v>0</v>
      </c>
      <c r="U24" s="498">
        <f>'HSZ do złotówek'!AI29</f>
        <v>0</v>
      </c>
      <c r="V24" s="498">
        <f>'HSZ do złotówek'!AJ29</f>
        <v>0</v>
      </c>
      <c r="W24" s="498">
        <f>'HSZ do złotówek'!AK29</f>
        <v>0</v>
      </c>
      <c r="X24" s="498">
        <f>'HSZ do złotówek'!AL29</f>
        <v>0</v>
      </c>
    </row>
    <row r="25" spans="1:24" s="493" customFormat="1" ht="23.25" customHeight="1">
      <c r="A25" s="76"/>
      <c r="B25" s="122">
        <v>2</v>
      </c>
      <c r="C25" s="903" t="s">
        <v>222</v>
      </c>
      <c r="D25" s="124"/>
      <c r="E25" s="124"/>
      <c r="F25" s="494">
        <f t="shared" ref="F25:R25" si="6">F26</f>
        <v>0</v>
      </c>
      <c r="G25" s="494">
        <f t="shared" si="6"/>
        <v>0</v>
      </c>
      <c r="H25" s="495">
        <f t="shared" si="6"/>
        <v>0</v>
      </c>
      <c r="I25" s="494">
        <f t="shared" si="6"/>
        <v>323077</v>
      </c>
      <c r="J25" s="494">
        <f t="shared" si="6"/>
        <v>323077</v>
      </c>
      <c r="K25" s="494">
        <f t="shared" si="6"/>
        <v>323077</v>
      </c>
      <c r="L25" s="494">
        <f t="shared" si="6"/>
        <v>323077</v>
      </c>
      <c r="M25" s="494">
        <f t="shared" si="6"/>
        <v>323077</v>
      </c>
      <c r="N25" s="494">
        <f t="shared" si="6"/>
        <v>323077</v>
      </c>
      <c r="O25" s="494">
        <f t="shared" si="6"/>
        <v>323077</v>
      </c>
      <c r="P25" s="495">
        <f t="shared" si="6"/>
        <v>323077</v>
      </c>
      <c r="Q25" s="495">
        <f t="shared" si="6"/>
        <v>323077</v>
      </c>
      <c r="R25" s="613">
        <f t="shared" si="6"/>
        <v>323077</v>
      </c>
      <c r="S25" s="613">
        <f t="shared" ref="S25:X25" si="7">S26</f>
        <v>323077</v>
      </c>
      <c r="T25" s="613">
        <f t="shared" si="7"/>
        <v>323077</v>
      </c>
      <c r="U25" s="613">
        <f t="shared" si="7"/>
        <v>323076</v>
      </c>
      <c r="V25" s="613">
        <f t="shared" si="7"/>
        <v>0</v>
      </c>
      <c r="W25" s="613">
        <f t="shared" si="7"/>
        <v>0</v>
      </c>
      <c r="X25" s="613">
        <f t="shared" si="7"/>
        <v>0</v>
      </c>
    </row>
    <row r="26" spans="1:24" s="493" customFormat="1" ht="18" customHeight="1">
      <c r="A26" s="76"/>
      <c r="B26" s="88" t="s">
        <v>29</v>
      </c>
      <c r="C26" s="92" t="s">
        <v>453</v>
      </c>
      <c r="D26" s="90">
        <f>SUM(F26:X26)</f>
        <v>4200000</v>
      </c>
      <c r="E26" s="91" t="s">
        <v>456</v>
      </c>
      <c r="F26" s="484"/>
      <c r="G26" s="484"/>
      <c r="H26" s="488">
        <f>'HSZ do złotówek'!K11</f>
        <v>0</v>
      </c>
      <c r="I26" s="488">
        <f>'HSZ do złotówek'!M11</f>
        <v>323077</v>
      </c>
      <c r="J26" s="488">
        <f>'HSZ do złotówek'!O11</f>
        <v>323077</v>
      </c>
      <c r="K26" s="488">
        <f>'HSZ do złotówek'!Q11</f>
        <v>323077</v>
      </c>
      <c r="L26" s="488">
        <f>'HSZ do złotówek'!S11</f>
        <v>323077</v>
      </c>
      <c r="M26" s="488">
        <f>'HSZ do złotówek'!U11</f>
        <v>323077</v>
      </c>
      <c r="N26" s="488">
        <f>'HSZ do złotówek'!W11</f>
        <v>323077</v>
      </c>
      <c r="O26" s="488">
        <f>'HSZ do złotówek'!Y11</f>
        <v>323077</v>
      </c>
      <c r="P26" s="488">
        <f>'HSZ do złotówek'!AA11</f>
        <v>323077</v>
      </c>
      <c r="Q26" s="488">
        <f>'HSZ do złotówek'!AC11</f>
        <v>323077</v>
      </c>
      <c r="R26" s="488">
        <f>'HSZ do złotówek'!AE11</f>
        <v>323077</v>
      </c>
      <c r="S26" s="488">
        <f>'HSZ do złotówek'!AG11</f>
        <v>323077</v>
      </c>
      <c r="T26" s="488">
        <f>'HSZ do złotówek'!AI11</f>
        <v>323077</v>
      </c>
      <c r="U26" s="484">
        <f>'HSZ do złotówek'!AK11</f>
        <v>323076</v>
      </c>
      <c r="V26" s="488">
        <f>'HSZ do złotówek'!AM11</f>
        <v>0</v>
      </c>
      <c r="W26" s="488">
        <f>'HSZ do złotówek'!AO11</f>
        <v>0</v>
      </c>
      <c r="X26" s="488">
        <f>'HSZ do złotówek'!AQ11</f>
        <v>0</v>
      </c>
    </row>
    <row r="27" spans="1:24" s="493" customFormat="1" ht="36" customHeight="1">
      <c r="A27" s="76"/>
      <c r="B27" s="85">
        <v>3</v>
      </c>
      <c r="C27" s="874" t="s">
        <v>223</v>
      </c>
      <c r="D27" s="87"/>
      <c r="E27" s="87"/>
      <c r="F27" s="480">
        <f>SUM(F28:F36)</f>
        <v>6300000</v>
      </c>
      <c r="G27" s="480">
        <f t="shared" ref="G27:R27" si="8">SUM(G28:G36)</f>
        <v>9500000</v>
      </c>
      <c r="H27" s="480">
        <f t="shared" si="8"/>
        <v>3500000</v>
      </c>
      <c r="I27" s="480">
        <f t="shared" si="8"/>
        <v>3900000</v>
      </c>
      <c r="J27" s="480">
        <f t="shared" si="8"/>
        <v>6000000</v>
      </c>
      <c r="K27" s="480">
        <f t="shared" si="8"/>
        <v>6000000</v>
      </c>
      <c r="L27" s="480">
        <f t="shared" si="8"/>
        <v>6000000</v>
      </c>
      <c r="M27" s="480">
        <f t="shared" si="8"/>
        <v>7000000</v>
      </c>
      <c r="N27" s="480">
        <f t="shared" si="8"/>
        <v>5300000</v>
      </c>
      <c r="O27" s="480">
        <f t="shared" si="8"/>
        <v>4243402</v>
      </c>
      <c r="P27" s="480">
        <f t="shared" si="8"/>
        <v>6092407</v>
      </c>
      <c r="Q27" s="480">
        <f t="shared" si="8"/>
        <v>895589</v>
      </c>
      <c r="R27" s="614">
        <f t="shared" si="8"/>
        <v>1267653</v>
      </c>
      <c r="S27" s="614">
        <f t="shared" ref="S27" si="9">SUM(S28:S36)</f>
        <v>0</v>
      </c>
      <c r="T27" s="614">
        <f t="shared" ref="T27" si="10">SUM(T28:T36)</f>
        <v>0</v>
      </c>
      <c r="U27" s="614">
        <f t="shared" ref="U27:X27" si="11">SUM(U28:U36)</f>
        <v>0</v>
      </c>
      <c r="V27" s="614">
        <f t="shared" si="11"/>
        <v>0</v>
      </c>
      <c r="W27" s="614">
        <f t="shared" si="11"/>
        <v>0</v>
      </c>
      <c r="X27" s="614">
        <f t="shared" si="11"/>
        <v>0</v>
      </c>
    </row>
    <row r="28" spans="1:24" s="493" customFormat="1" ht="18" hidden="1" customHeight="1">
      <c r="A28" s="76"/>
      <c r="B28" s="88" t="s">
        <v>44</v>
      </c>
      <c r="C28" s="92" t="s">
        <v>225</v>
      </c>
      <c r="D28" s="90">
        <v>12850000</v>
      </c>
      <c r="E28" s="91">
        <v>2006</v>
      </c>
      <c r="F28" s="484">
        <f>'HSZ do złotówek'!G36</f>
        <v>6300000</v>
      </c>
      <c r="G28" s="484">
        <f>'HSZ do złotówek'!I36</f>
        <v>0</v>
      </c>
      <c r="H28" s="488">
        <f>'HSZ do złotówek'!K36</f>
        <v>0</v>
      </c>
      <c r="I28" s="488">
        <f>'HSZ do złotówek'!M36</f>
        <v>0</v>
      </c>
      <c r="J28" s="488">
        <f>'HSZ do złotówek'!O36</f>
        <v>0</v>
      </c>
      <c r="K28" s="488">
        <f>'HSZ do złotówek'!Q36</f>
        <v>0</v>
      </c>
      <c r="L28" s="488">
        <f>'HSZ do złotówek'!S36</f>
        <v>0</v>
      </c>
      <c r="M28" s="488">
        <f>'HSZ do złotówek'!U36</f>
        <v>0</v>
      </c>
      <c r="N28" s="488">
        <f>'HSZ do złotówek'!W36</f>
        <v>0</v>
      </c>
      <c r="O28" s="488">
        <f>'HSZ do złotówek'!Y36</f>
        <v>0</v>
      </c>
      <c r="P28" s="488">
        <f>'HSZ do złotówek'!AA36</f>
        <v>0</v>
      </c>
      <c r="Q28" s="488">
        <f>'HSZ do złotówek'!AC36</f>
        <v>0</v>
      </c>
      <c r="R28" s="498">
        <f>'HSZ do złotówek'!AE36</f>
        <v>0</v>
      </c>
      <c r="S28" s="498">
        <f>'HSZ do złotówek'!AF36</f>
        <v>0</v>
      </c>
      <c r="T28" s="498">
        <f>'HSZ do złotówek'!AG36</f>
        <v>0</v>
      </c>
      <c r="U28" s="498">
        <f>'HSZ do złotówek'!AH36</f>
        <v>0</v>
      </c>
      <c r="V28" s="498">
        <f>'HSZ do złotówek'!AI36</f>
        <v>0</v>
      </c>
      <c r="W28" s="498">
        <f>'HSZ do złotówek'!AJ36</f>
        <v>0</v>
      </c>
      <c r="X28" s="498">
        <f>'HSZ do złotówek'!AK36</f>
        <v>0</v>
      </c>
    </row>
    <row r="29" spans="1:24" s="493" customFormat="1" ht="17.25" customHeight="1">
      <c r="A29" s="76"/>
      <c r="B29" s="88" t="s">
        <v>224</v>
      </c>
      <c r="C29" s="92" t="s">
        <v>225</v>
      </c>
      <c r="D29" s="90">
        <v>2000000</v>
      </c>
      <c r="E29" s="91">
        <v>2008</v>
      </c>
      <c r="F29" s="484">
        <f>'HSZ do złotówek'!G37</f>
        <v>0</v>
      </c>
      <c r="G29" s="484">
        <f>'HSZ do złotówek'!I37</f>
        <v>2000000</v>
      </c>
      <c r="H29" s="488">
        <f>'HSZ do złotówek'!K37</f>
        <v>0</v>
      </c>
      <c r="I29" s="488">
        <f>'HSZ do złotówek'!M37</f>
        <v>0</v>
      </c>
      <c r="J29" s="488">
        <f>'HSZ do złotówek'!O37</f>
        <v>0</v>
      </c>
      <c r="K29" s="488">
        <f>'HSZ do złotówek'!Q37</f>
        <v>0</v>
      </c>
      <c r="L29" s="488">
        <f>'HSZ do złotówek'!S37</f>
        <v>0</v>
      </c>
      <c r="M29" s="488">
        <f>'HSZ do złotówek'!U37</f>
        <v>0</v>
      </c>
      <c r="N29" s="488">
        <f>'HSZ do złotówek'!W37</f>
        <v>0</v>
      </c>
      <c r="O29" s="488">
        <f>'HSZ do złotówek'!Y37</f>
        <v>0</v>
      </c>
      <c r="P29" s="488">
        <f>'HSZ do złotówek'!AA37</f>
        <v>0</v>
      </c>
      <c r="Q29" s="488">
        <f>'HSZ do złotówek'!AC37</f>
        <v>0</v>
      </c>
      <c r="R29" s="498">
        <f>'HSZ do złotówek'!AE37</f>
        <v>0</v>
      </c>
      <c r="S29" s="498">
        <f>'HSZ do złotówek'!AF37</f>
        <v>0</v>
      </c>
      <c r="T29" s="498">
        <f>'HSZ do złotówek'!AG37</f>
        <v>0</v>
      </c>
      <c r="U29" s="498">
        <f>'HSZ do złotówek'!AH37</f>
        <v>0</v>
      </c>
      <c r="V29" s="498">
        <f>'HSZ do złotówek'!AI37</f>
        <v>0</v>
      </c>
      <c r="W29" s="498">
        <f>'HSZ do złotówek'!AJ37</f>
        <v>0</v>
      </c>
      <c r="X29" s="498">
        <f>'HSZ do złotówek'!AK37</f>
        <v>0</v>
      </c>
    </row>
    <row r="30" spans="1:24" s="493" customFormat="1" ht="18" customHeight="1">
      <c r="A30" s="76"/>
      <c r="B30" s="88" t="s">
        <v>44</v>
      </c>
      <c r="C30" s="92" t="s">
        <v>227</v>
      </c>
      <c r="D30" s="90">
        <v>8900000</v>
      </c>
      <c r="E30" s="91">
        <v>2009</v>
      </c>
      <c r="F30" s="484">
        <f>'HSZ do złotówek'!G38</f>
        <v>0</v>
      </c>
      <c r="G30" s="484">
        <f>'HSZ do złotówek'!I38</f>
        <v>5000000</v>
      </c>
      <c r="H30" s="488">
        <f>'HSZ do złotówek'!K38</f>
        <v>3000000</v>
      </c>
      <c r="I30" s="488">
        <f>'HSZ do złotówek'!M38</f>
        <v>900000</v>
      </c>
      <c r="J30" s="488">
        <f>'HSZ do złotówek'!O38</f>
        <v>0</v>
      </c>
      <c r="K30" s="488">
        <f>'HSZ do złotówek'!Q38</f>
        <v>0</v>
      </c>
      <c r="L30" s="488">
        <f>'HSZ do złotówek'!S38</f>
        <v>0</v>
      </c>
      <c r="M30" s="488">
        <f>'HSZ do złotówek'!U38</f>
        <v>0</v>
      </c>
      <c r="N30" s="488">
        <f>'HSZ do złotówek'!W38</f>
        <v>0</v>
      </c>
      <c r="O30" s="488">
        <f>'HSZ do złotówek'!Y38</f>
        <v>0</v>
      </c>
      <c r="P30" s="488">
        <f>'HSZ do złotówek'!AA38</f>
        <v>0</v>
      </c>
      <c r="Q30" s="488">
        <f>'HSZ do złotówek'!AC38</f>
        <v>0</v>
      </c>
      <c r="R30" s="498">
        <f>'HSZ do złotówek'!AE38</f>
        <v>0</v>
      </c>
      <c r="S30" s="498">
        <f>'HSZ do złotówek'!AF38</f>
        <v>0</v>
      </c>
      <c r="T30" s="498">
        <f>'HSZ do złotówek'!AG38</f>
        <v>0</v>
      </c>
      <c r="U30" s="498">
        <f>'HSZ do złotówek'!AH38</f>
        <v>0</v>
      </c>
      <c r="V30" s="498">
        <f>'HSZ do złotówek'!AI38</f>
        <v>0</v>
      </c>
      <c r="W30" s="498">
        <f>'HSZ do złotówek'!AJ38</f>
        <v>0</v>
      </c>
      <c r="X30" s="498">
        <f>'HSZ do złotówek'!AK38</f>
        <v>0</v>
      </c>
    </row>
    <row r="31" spans="1:24" s="493" customFormat="1" ht="15.75" customHeight="1">
      <c r="A31" s="76"/>
      <c r="B31" s="88" t="s">
        <v>226</v>
      </c>
      <c r="C31" s="92" t="s">
        <v>238</v>
      </c>
      <c r="D31" s="90">
        <v>16000000</v>
      </c>
      <c r="E31" s="91">
        <v>2010</v>
      </c>
      <c r="F31" s="484">
        <f>'HSZ do złotówek'!G39</f>
        <v>0</v>
      </c>
      <c r="G31" s="484">
        <f>'HSZ do złotówek'!I39</f>
        <v>2000000</v>
      </c>
      <c r="H31" s="488">
        <f>'HSZ do złotówek'!K39</f>
        <v>0</v>
      </c>
      <c r="I31" s="488">
        <f>'HSZ do złotówek'!M39</f>
        <v>3000000</v>
      </c>
      <c r="J31" s="488">
        <f>'HSZ do złotówek'!O39</f>
        <v>5500000</v>
      </c>
      <c r="K31" s="488">
        <f>'HSZ do złotówek'!Q39</f>
        <v>5500000</v>
      </c>
      <c r="L31" s="488">
        <f>'HSZ do złotówek'!S39</f>
        <v>0</v>
      </c>
      <c r="M31" s="488">
        <f>'HSZ do złotówek'!U39</f>
        <v>0</v>
      </c>
      <c r="N31" s="488">
        <f>'HSZ do złotówek'!W39</f>
        <v>0</v>
      </c>
      <c r="O31" s="488">
        <f>'HSZ do złotówek'!Y39</f>
        <v>0</v>
      </c>
      <c r="P31" s="488">
        <f>'HSZ do złotówek'!AA39</f>
        <v>0</v>
      </c>
      <c r="Q31" s="488">
        <f>'HSZ do złotówek'!AC39</f>
        <v>0</v>
      </c>
      <c r="R31" s="498">
        <f>'HSZ do złotówek'!AE39</f>
        <v>0</v>
      </c>
      <c r="S31" s="498">
        <f>'HSZ do złotówek'!AF39</f>
        <v>0</v>
      </c>
      <c r="T31" s="498">
        <f>'HSZ do złotówek'!AG39</f>
        <v>0</v>
      </c>
      <c r="U31" s="498">
        <f>'HSZ do złotówek'!AH39</f>
        <v>0</v>
      </c>
      <c r="V31" s="498">
        <f>'HSZ do złotówek'!AI39</f>
        <v>0</v>
      </c>
      <c r="W31" s="498">
        <f>'HSZ do złotówek'!AJ39</f>
        <v>0</v>
      </c>
      <c r="X31" s="498">
        <f>'HSZ do złotówek'!AK39</f>
        <v>0</v>
      </c>
    </row>
    <row r="32" spans="1:24" s="493" customFormat="1" ht="16.5" customHeight="1">
      <c r="A32" s="76"/>
      <c r="B32" s="88" t="s">
        <v>228</v>
      </c>
      <c r="C32" s="92" t="s">
        <v>231</v>
      </c>
      <c r="D32" s="90">
        <v>10000000</v>
      </c>
      <c r="E32" s="91">
        <v>2011</v>
      </c>
      <c r="F32" s="484">
        <f>'HSZ do złotówek'!G40</f>
        <v>0</v>
      </c>
      <c r="G32" s="484">
        <f>'HSZ do złotówek'!I40</f>
        <v>500000</v>
      </c>
      <c r="H32" s="488">
        <f>'HSZ do złotówek'!K40</f>
        <v>500000</v>
      </c>
      <c r="I32" s="488">
        <f>'HSZ do złotówek'!M40</f>
        <v>0</v>
      </c>
      <c r="J32" s="488">
        <f>'HSZ do złotówek'!O40</f>
        <v>500000</v>
      </c>
      <c r="K32" s="488">
        <f>'HSZ do złotówek'!Q40</f>
        <v>500000</v>
      </c>
      <c r="L32" s="488">
        <f>'HSZ do złotówek'!S40</f>
        <v>4000000</v>
      </c>
      <c r="M32" s="488">
        <f>'HSZ do złotówek'!U40</f>
        <v>4000000</v>
      </c>
      <c r="N32" s="488">
        <f>'HSZ do złotówek'!W40</f>
        <v>0</v>
      </c>
      <c r="O32" s="488">
        <f>'HSZ do złotówek'!Y40</f>
        <v>0</v>
      </c>
      <c r="P32" s="488">
        <f>'HSZ do złotówek'!AA40</f>
        <v>0</v>
      </c>
      <c r="Q32" s="488">
        <f>'HSZ do złotówek'!AC40</f>
        <v>0</v>
      </c>
      <c r="R32" s="498">
        <f>'HSZ do złotówek'!AE40</f>
        <v>0</v>
      </c>
      <c r="S32" s="498">
        <f>'HSZ do złotówek'!AF40</f>
        <v>0</v>
      </c>
      <c r="T32" s="498">
        <f>'HSZ do złotówek'!AG40</f>
        <v>0</v>
      </c>
      <c r="U32" s="498">
        <f>'HSZ do złotówek'!AH40</f>
        <v>0</v>
      </c>
      <c r="V32" s="498">
        <f>'HSZ do złotówek'!AI40</f>
        <v>0</v>
      </c>
      <c r="W32" s="498">
        <f>'HSZ do złotówek'!AJ40</f>
        <v>0</v>
      </c>
      <c r="X32" s="498">
        <f>'HSZ do złotówek'!AK40</f>
        <v>0</v>
      </c>
    </row>
    <row r="33" spans="1:27" s="493" customFormat="1" ht="12.75" hidden="1">
      <c r="A33" s="76"/>
      <c r="B33" s="125"/>
      <c r="C33" s="126"/>
      <c r="D33" s="127"/>
      <c r="E33" s="127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9"/>
      <c r="S33" s="499"/>
      <c r="T33" s="499"/>
      <c r="U33" s="499"/>
      <c r="V33" s="499"/>
      <c r="W33" s="499"/>
      <c r="X33" s="499"/>
    </row>
    <row r="34" spans="1:27" s="493" customFormat="1" ht="21" customHeight="1">
      <c r="A34" s="76"/>
      <c r="B34" s="125" t="s">
        <v>230</v>
      </c>
      <c r="C34" s="884" t="s">
        <v>452</v>
      </c>
      <c r="D34" s="90">
        <f>SUM(F34:X34)</f>
        <v>9000000</v>
      </c>
      <c r="E34" s="91">
        <v>2012</v>
      </c>
      <c r="F34" s="484">
        <f>'HSZ do złotówek'!G44</f>
        <v>0</v>
      </c>
      <c r="G34" s="484">
        <f>'HSZ do złotówek'!I44</f>
        <v>0</v>
      </c>
      <c r="H34" s="488">
        <f>'HSZ do złotówek'!K44</f>
        <v>0</v>
      </c>
      <c r="I34" s="488">
        <f>'HSZ do złotówek'!M44</f>
        <v>0</v>
      </c>
      <c r="J34" s="488">
        <f>'HSZ do złotówek'!O44</f>
        <v>0</v>
      </c>
      <c r="K34" s="488">
        <f>'HSZ do złotówek'!Q44</f>
        <v>0</v>
      </c>
      <c r="L34" s="488">
        <f>'HSZ do złotówek'!S44</f>
        <v>2000000</v>
      </c>
      <c r="M34" s="488">
        <f>'HSZ do złotówek'!U44</f>
        <v>3000000</v>
      </c>
      <c r="N34" s="488">
        <f>'HSZ do złotówek'!W44</f>
        <v>4000000</v>
      </c>
      <c r="O34" s="488">
        <f>'HSZ do złotówek'!Y44</f>
        <v>0</v>
      </c>
      <c r="P34" s="488">
        <f>'HSZ do złotówek'!AA44</f>
        <v>0</v>
      </c>
      <c r="Q34" s="488">
        <f>'HSZ do złotówek'!AC44</f>
        <v>0</v>
      </c>
      <c r="R34" s="498">
        <f>'HSZ do złotówek'!AE44</f>
        <v>0</v>
      </c>
      <c r="S34" s="498">
        <f>'HSZ do złotówek'!AF44</f>
        <v>0</v>
      </c>
      <c r="T34" s="498">
        <f>'HSZ do złotówek'!AG44</f>
        <v>0</v>
      </c>
      <c r="U34" s="498">
        <f>'HSZ do złotówek'!AH44</f>
        <v>0</v>
      </c>
      <c r="V34" s="498">
        <f>'HSZ do złotówek'!AI44</f>
        <v>0</v>
      </c>
      <c r="W34" s="498">
        <f>'HSZ do złotówek'!AJ44</f>
        <v>0</v>
      </c>
      <c r="X34" s="498">
        <f>'HSZ do złotówek'!AK44</f>
        <v>0</v>
      </c>
    </row>
    <row r="35" spans="1:27" s="493" customFormat="1" ht="24.75" customHeight="1">
      <c r="A35" s="76"/>
      <c r="B35" s="898" t="s">
        <v>239</v>
      </c>
      <c r="C35" s="901" t="s">
        <v>463</v>
      </c>
      <c r="D35" s="899">
        <v>11300000</v>
      </c>
      <c r="E35" s="902">
        <v>2013</v>
      </c>
      <c r="F35" s="900"/>
      <c r="G35" s="900"/>
      <c r="H35" s="900"/>
      <c r="I35" s="900"/>
      <c r="J35" s="900"/>
      <c r="K35" s="900"/>
      <c r="L35" s="900"/>
      <c r="M35" s="900"/>
      <c r="N35" s="900">
        <f>SUM('HSZ do złotówek'!W46:W46)</f>
        <v>1300000</v>
      </c>
      <c r="O35" s="900">
        <f>SUM('HSZ do złotówek'!Y46:Y46)</f>
        <v>4000000</v>
      </c>
      <c r="P35" s="900">
        <f>SUM('HSZ do złotówek'!AA46:AA46)</f>
        <v>6000000</v>
      </c>
      <c r="Q35" s="900"/>
      <c r="R35" s="900"/>
      <c r="S35" s="900"/>
      <c r="T35" s="900"/>
      <c r="U35" s="900"/>
      <c r="V35" s="499"/>
      <c r="W35" s="499"/>
      <c r="X35" s="499"/>
    </row>
    <row r="36" spans="1:27" s="493" customFormat="1" ht="30" customHeight="1">
      <c r="A36" s="76"/>
      <c r="B36" s="88" t="s">
        <v>240</v>
      </c>
      <c r="C36" s="884" t="s">
        <v>232</v>
      </c>
      <c r="D36" s="90" t="s">
        <v>241</v>
      </c>
      <c r="E36" s="128" t="s">
        <v>241</v>
      </c>
      <c r="F36" s="484">
        <f>SUM('HSZ do złotówek'!G46:G57)</f>
        <v>0</v>
      </c>
      <c r="G36" s="484">
        <f>SUM('HSZ do złotówek'!I46:I57)</f>
        <v>0</v>
      </c>
      <c r="H36" s="488">
        <f>SUM('HSZ do złotówek'!K46:K57)</f>
        <v>0</v>
      </c>
      <c r="I36" s="488">
        <f>SUM('HSZ do złotówek'!M46:M57)</f>
        <v>0</v>
      </c>
      <c r="J36" s="488">
        <f>SUM('HSZ do złotówek'!O46:O57)</f>
        <v>0</v>
      </c>
      <c r="K36" s="488">
        <f>SUM('HSZ do złotówek'!Q46:Q57)</f>
        <v>0</v>
      </c>
      <c r="L36" s="488">
        <f>SUM('HSZ do złotówek'!S46:S57)</f>
        <v>0</v>
      </c>
      <c r="M36" s="488">
        <f>SUM('HSZ do złotówek'!U46:U57)</f>
        <v>0</v>
      </c>
      <c r="N36" s="488">
        <f>SUM('HSZ do złotówek'!W47:W57)</f>
        <v>0</v>
      </c>
      <c r="O36" s="488">
        <f>SUM('HSZ do złotówek'!Y47:Y57)</f>
        <v>243402</v>
      </c>
      <c r="P36" s="488">
        <f>SUM('HSZ do złotówek'!AA47:AA57)</f>
        <v>92407</v>
      </c>
      <c r="Q36" s="488">
        <f>SUM('HSZ do złotówek'!AC46:AC57)</f>
        <v>895589</v>
      </c>
      <c r="R36" s="498">
        <f>SUM('HSZ do złotówek'!AE46:AE57)</f>
        <v>1267653</v>
      </c>
      <c r="S36" s="498">
        <f>SUM('HSZ do złotówek'!AG46:AG57)</f>
        <v>0</v>
      </c>
      <c r="T36" s="498">
        <f>SUM('HSZ do złotówek'!AH46:AH57)</f>
        <v>0</v>
      </c>
      <c r="U36" s="498">
        <f>SUM('HSZ do złotówek'!AI46:AI57)</f>
        <v>0</v>
      </c>
      <c r="V36" s="498">
        <f>SUM('HSZ do złotówek'!AJ46:AJ57)</f>
        <v>0</v>
      </c>
      <c r="W36" s="498">
        <f>SUM('HSZ do złotówek'!AK46:AK57)</f>
        <v>0</v>
      </c>
      <c r="X36" s="498">
        <f>SUM('HSZ do złotówek'!AL46:AL57)</f>
        <v>0</v>
      </c>
      <c r="Z36" s="612"/>
      <c r="AA36" s="612"/>
    </row>
    <row r="37" spans="1:27" s="493" customFormat="1" ht="26.25" customHeight="1">
      <c r="A37" s="76"/>
      <c r="B37" s="122">
        <v>4</v>
      </c>
      <c r="C37" s="123" t="s">
        <v>242</v>
      </c>
      <c r="D37" s="124"/>
      <c r="E37" s="124"/>
      <c r="F37" s="494">
        <f t="shared" ref="F37:M37" si="12">F27+F25+F8</f>
        <v>6998867</v>
      </c>
      <c r="G37" s="494">
        <f t="shared" si="12"/>
        <v>10160865</v>
      </c>
      <c r="H37" s="495">
        <f t="shared" si="12"/>
        <v>4101396</v>
      </c>
      <c r="I37" s="494">
        <f t="shared" si="12"/>
        <v>5499418</v>
      </c>
      <c r="J37" s="494">
        <f t="shared" si="12"/>
        <v>7972714</v>
      </c>
      <c r="K37" s="494">
        <f t="shared" si="12"/>
        <v>7943402</v>
      </c>
      <c r="L37" s="494">
        <f t="shared" si="12"/>
        <v>7892407</v>
      </c>
      <c r="M37" s="494">
        <f t="shared" si="12"/>
        <v>8795589</v>
      </c>
      <c r="N37" s="494">
        <f t="shared" ref="N37:R37" si="13">N27+N25+N8</f>
        <v>7075246</v>
      </c>
      <c r="O37" s="494">
        <f t="shared" si="13"/>
        <v>6018648</v>
      </c>
      <c r="P37" s="494">
        <f t="shared" si="13"/>
        <v>7867653</v>
      </c>
      <c r="Q37" s="494">
        <f t="shared" si="13"/>
        <v>2670835</v>
      </c>
      <c r="R37" s="613">
        <f t="shared" si="13"/>
        <v>3042899</v>
      </c>
      <c r="S37" s="613">
        <f t="shared" ref="S37" si="14">S27+S25+S8</f>
        <v>1774404</v>
      </c>
      <c r="T37" s="613">
        <f t="shared" ref="T37" si="15">T27+T25+T8</f>
        <v>1153846</v>
      </c>
      <c r="U37" s="613">
        <f t="shared" ref="U37:X37" si="16">U27+U25+U8</f>
        <v>1153846</v>
      </c>
      <c r="V37" s="613">
        <f t="shared" si="16"/>
        <v>0</v>
      </c>
      <c r="W37" s="613">
        <f t="shared" si="16"/>
        <v>0</v>
      </c>
      <c r="X37" s="613">
        <f t="shared" si="16"/>
        <v>0</v>
      </c>
    </row>
    <row r="38" spans="1:27" s="39" customFormat="1" ht="12.75">
      <c r="A38" s="102"/>
      <c r="B38" s="129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500"/>
      <c r="S38" s="500"/>
      <c r="T38" s="500"/>
      <c r="U38" s="500"/>
      <c r="V38" s="500"/>
      <c r="W38" s="500"/>
      <c r="X38" s="500"/>
    </row>
    <row r="39" spans="1:27" ht="38.25">
      <c r="B39" s="132">
        <v>5</v>
      </c>
      <c r="C39" s="133" t="s">
        <v>243</v>
      </c>
      <c r="D39" s="134"/>
      <c r="E39" s="134"/>
      <c r="F39" s="514">
        <f>'HSZ do złotówek'!H63</f>
        <v>2173467</v>
      </c>
      <c r="G39" s="514">
        <f>'HSZ do złotówek'!J63</f>
        <v>2980913</v>
      </c>
      <c r="H39" s="515">
        <f>'HSZ do złotówek'!L63</f>
        <v>3414159</v>
      </c>
      <c r="I39" s="514">
        <f>'HSZ do złotówek'!N63</f>
        <v>3342705</v>
      </c>
      <c r="J39" s="514">
        <f>'HSZ do złotówek'!P63</f>
        <v>3033833</v>
      </c>
      <c r="K39" s="514">
        <f>'HSZ do złotówek'!R63</f>
        <v>2691869</v>
      </c>
      <c r="L39" s="514">
        <f>'HSZ do złotówek'!T63</f>
        <v>2263234</v>
      </c>
      <c r="M39" s="514">
        <f>'HSZ do złotówek'!V63</f>
        <v>1885856</v>
      </c>
      <c r="N39" s="514">
        <f>'HSZ do złotówek'!X63</f>
        <v>1441789</v>
      </c>
      <c r="O39" s="514">
        <f>'HSZ do złotówek'!Z63</f>
        <v>1051026</v>
      </c>
      <c r="P39" s="515">
        <f>'HSZ do złotówek'!AB63</f>
        <v>757297</v>
      </c>
      <c r="Q39" s="515">
        <f>'HSZ do złotówek'!AD63</f>
        <v>462199</v>
      </c>
      <c r="R39" s="516">
        <f>'HSZ do złotówek'!AF63</f>
        <v>329431</v>
      </c>
      <c r="S39" s="516">
        <f>'HSZ do złotówek'!AH63</f>
        <v>183703</v>
      </c>
      <c r="T39" s="516">
        <f>'HSZ do złotówek'!AJ63</f>
        <v>95143</v>
      </c>
      <c r="U39" s="516">
        <f>'HSZ do złotówek'!AL63</f>
        <v>48632</v>
      </c>
      <c r="V39" s="516">
        <f>'HSZ do złotówek'!AN63</f>
        <v>0</v>
      </c>
      <c r="W39" s="516">
        <f>'HSZ do złotówek'!AP63</f>
        <v>0</v>
      </c>
      <c r="X39" s="516">
        <f>'HSZ do złotówek'!AR63</f>
        <v>0</v>
      </c>
    </row>
    <row r="40" spans="1:27" ht="76.5">
      <c r="B40" s="135">
        <v>6</v>
      </c>
      <c r="C40" s="136" t="s">
        <v>244</v>
      </c>
      <c r="D40" s="137"/>
      <c r="E40" s="137"/>
      <c r="F40" s="138"/>
      <c r="G40" s="138"/>
      <c r="H40" s="139"/>
      <c r="I40" s="138"/>
      <c r="J40" s="138"/>
      <c r="K40" s="138"/>
      <c r="L40" s="138"/>
      <c r="M40" s="138"/>
      <c r="N40" s="138"/>
      <c r="O40" s="138"/>
      <c r="P40" s="139"/>
      <c r="Q40" s="139"/>
      <c r="R40" s="501"/>
      <c r="S40" s="501"/>
      <c r="T40" s="501"/>
      <c r="U40" s="501"/>
      <c r="V40" s="501"/>
      <c r="W40" s="501"/>
      <c r="X40" s="501"/>
    </row>
    <row r="41" spans="1:27" s="39" customFormat="1" ht="12.75">
      <c r="A41" s="102"/>
      <c r="B41" s="129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500"/>
      <c r="S41" s="500"/>
      <c r="T41" s="500"/>
      <c r="U41" s="500"/>
      <c r="V41" s="500"/>
      <c r="W41" s="500"/>
      <c r="X41" s="500"/>
    </row>
    <row r="42" spans="1:27" ht="38.25">
      <c r="B42" s="140">
        <v>7</v>
      </c>
      <c r="C42" s="141" t="s">
        <v>245</v>
      </c>
      <c r="D42" s="142"/>
      <c r="E42" s="142"/>
      <c r="F42" s="143">
        <v>3277566</v>
      </c>
      <c r="G42" s="143">
        <f>'Przeds Poręczenia'!Q87</f>
        <v>3246163.76</v>
      </c>
      <c r="H42" s="143">
        <f>'Przeds Poręczenia'!R87</f>
        <v>3579819.76</v>
      </c>
      <c r="I42" s="143">
        <f>'Przeds Poręczenia'!S87</f>
        <v>3579819.76</v>
      </c>
      <c r="J42" s="143">
        <f>'Przeds Poręczenia'!T87</f>
        <v>3579819.76</v>
      </c>
      <c r="K42" s="143">
        <f>'Przeds Poręczenia'!U87</f>
        <v>3578819.76</v>
      </c>
      <c r="L42" s="143">
        <f>'Przeds Poręczenia'!V87</f>
        <v>3577819.76</v>
      </c>
      <c r="M42" s="143">
        <f>'Przeds Poręczenia'!W87</f>
        <v>3576819.76</v>
      </c>
      <c r="N42" s="143">
        <f>'Przeds Poręczenia'!X87</f>
        <v>3420876.76</v>
      </c>
      <c r="O42" s="143">
        <f>'Przeds Poręczenia'!Y87</f>
        <v>2460772</v>
      </c>
      <c r="P42" s="143">
        <f>'Przeds Poręczenia'!Z87</f>
        <v>788000</v>
      </c>
      <c r="Q42" s="143">
        <f>'Przeds Poręczenia'!AA87</f>
        <v>122000</v>
      </c>
      <c r="R42" s="502">
        <f>'poreczenia nieaktualne'!AB96</f>
        <v>0</v>
      </c>
      <c r="S42" s="502">
        <f>'poreczenia nieaktualne'!AC96</f>
        <v>0</v>
      </c>
      <c r="T42" s="502">
        <f>'poreczenia nieaktualne'!AD96</f>
        <v>0</v>
      </c>
      <c r="U42" s="502">
        <f>'poreczenia nieaktualne'!AE96</f>
        <v>0</v>
      </c>
      <c r="V42" s="502">
        <f>'poreczenia nieaktualne'!AF96</f>
        <v>0</v>
      </c>
      <c r="W42" s="502">
        <f>'poreczenia nieaktualne'!AG96</f>
        <v>0</v>
      </c>
      <c r="X42" s="502">
        <f>'poreczenia nieaktualne'!AH96</f>
        <v>0</v>
      </c>
    </row>
    <row r="43" spans="1:27" ht="63.75">
      <c r="B43" s="144">
        <v>8</v>
      </c>
      <c r="C43" s="145" t="s">
        <v>246</v>
      </c>
      <c r="D43" s="146"/>
      <c r="E43" s="146"/>
      <c r="F43" s="147"/>
      <c r="G43" s="147"/>
      <c r="H43" s="148"/>
      <c r="I43" s="147"/>
      <c r="J43" s="147"/>
      <c r="K43" s="147"/>
      <c r="L43" s="147"/>
      <c r="M43" s="147"/>
      <c r="N43" s="147"/>
      <c r="O43" s="147"/>
      <c r="P43" s="148"/>
      <c r="Q43" s="148"/>
      <c r="R43" s="503"/>
      <c r="S43" s="503"/>
      <c r="T43" s="503"/>
      <c r="U43" s="503"/>
      <c r="V43" s="503"/>
      <c r="W43" s="503"/>
      <c r="X43" s="503"/>
    </row>
    <row r="44" spans="1:27" ht="63.75">
      <c r="B44" s="144">
        <v>9</v>
      </c>
      <c r="C44" s="145" t="s">
        <v>247</v>
      </c>
      <c r="D44" s="146"/>
      <c r="E44" s="146"/>
      <c r="F44" s="147"/>
      <c r="G44" s="147"/>
      <c r="H44" s="148"/>
      <c r="I44" s="147"/>
      <c r="J44" s="147"/>
      <c r="K44" s="147"/>
      <c r="L44" s="147"/>
      <c r="M44" s="147"/>
      <c r="N44" s="147"/>
      <c r="O44" s="147"/>
      <c r="P44" s="148"/>
      <c r="Q44" s="148"/>
      <c r="R44" s="503"/>
      <c r="S44" s="503"/>
      <c r="T44" s="503"/>
      <c r="U44" s="503"/>
      <c r="V44" s="503"/>
      <c r="W44" s="503"/>
      <c r="X44" s="503"/>
    </row>
    <row r="45" spans="1:27" s="39" customFormat="1" ht="12.75">
      <c r="A45" s="102"/>
      <c r="B45" s="129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500"/>
      <c r="S45" s="500"/>
      <c r="T45" s="500"/>
      <c r="U45" s="500"/>
      <c r="V45" s="500"/>
      <c r="W45" s="500"/>
      <c r="X45" s="500"/>
    </row>
    <row r="46" spans="1:27" ht="38.25">
      <c r="B46" s="149">
        <v>10</v>
      </c>
      <c r="C46" s="150" t="s">
        <v>248</v>
      </c>
      <c r="D46" s="151"/>
      <c r="E46" s="151"/>
      <c r="F46" s="152">
        <f t="shared" ref="F46:P46" si="17">F37+F39+F40+F42</f>
        <v>12449900</v>
      </c>
      <c r="G46" s="152">
        <f t="shared" si="17"/>
        <v>16387941.76</v>
      </c>
      <c r="H46" s="153">
        <f t="shared" si="17"/>
        <v>11095374.76</v>
      </c>
      <c r="I46" s="152">
        <f t="shared" si="17"/>
        <v>12421942.76</v>
      </c>
      <c r="J46" s="152">
        <f t="shared" si="17"/>
        <v>14586366.76</v>
      </c>
      <c r="K46" s="152">
        <f t="shared" si="17"/>
        <v>14214090.76</v>
      </c>
      <c r="L46" s="152">
        <f t="shared" si="17"/>
        <v>13733460.76</v>
      </c>
      <c r="M46" s="152">
        <f t="shared" si="17"/>
        <v>14258264.76</v>
      </c>
      <c r="N46" s="152">
        <f t="shared" si="17"/>
        <v>11937911.76</v>
      </c>
      <c r="O46" s="152">
        <f t="shared" si="17"/>
        <v>9530446</v>
      </c>
      <c r="P46" s="153">
        <f t="shared" si="17"/>
        <v>9412950</v>
      </c>
      <c r="Q46" s="153">
        <f t="shared" ref="Q46:X46" si="18">Q37+Q39+Q40+Q42</f>
        <v>3255034</v>
      </c>
      <c r="R46" s="504">
        <f t="shared" si="18"/>
        <v>3372330</v>
      </c>
      <c r="S46" s="504">
        <f t="shared" si="18"/>
        <v>1958107</v>
      </c>
      <c r="T46" s="504">
        <f t="shared" si="18"/>
        <v>1248989</v>
      </c>
      <c r="U46" s="504">
        <f t="shared" si="18"/>
        <v>1202478</v>
      </c>
      <c r="V46" s="504">
        <f t="shared" si="18"/>
        <v>0</v>
      </c>
      <c r="W46" s="504">
        <f t="shared" si="18"/>
        <v>0</v>
      </c>
      <c r="X46" s="504">
        <f t="shared" si="18"/>
        <v>0</v>
      </c>
    </row>
    <row r="47" spans="1:27" s="39" customFormat="1" ht="12.75">
      <c r="A47" s="102"/>
      <c r="B47" s="129"/>
      <c r="C47" s="130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500"/>
      <c r="S47" s="500"/>
      <c r="T47" s="500"/>
      <c r="U47" s="500"/>
      <c r="V47" s="500"/>
      <c r="W47" s="500"/>
      <c r="X47" s="500"/>
    </row>
    <row r="48" spans="1:27" ht="25.5">
      <c r="B48" s="154">
        <v>11</v>
      </c>
      <c r="C48" s="155" t="s">
        <v>235</v>
      </c>
      <c r="D48" s="156"/>
      <c r="E48" s="156"/>
      <c r="F48" s="157">
        <f>'WPF styczeń 2013'!H8</f>
        <v>165709149.59</v>
      </c>
      <c r="G48" s="157">
        <f>'WPF styczeń 2013'!I8</f>
        <v>209929240</v>
      </c>
      <c r="H48" s="157">
        <f>'WPF styczeń 2013'!J8</f>
        <v>208947156.42000002</v>
      </c>
      <c r="I48" s="157">
        <f>'WPF styczeń 2013'!K8</f>
        <v>177500000</v>
      </c>
      <c r="J48" s="157">
        <f>'WPF styczeń 2013'!L8</f>
        <v>181100000</v>
      </c>
      <c r="K48" s="157">
        <f>'WPF styczeń 2013'!M8</f>
        <v>185600000</v>
      </c>
      <c r="L48" s="157">
        <f>'WPF styczeń 2013'!N8</f>
        <v>191100000</v>
      </c>
      <c r="M48" s="157">
        <f>'WPF styczeń 2013'!O8</f>
        <v>193700000</v>
      </c>
      <c r="N48" s="157">
        <f>'WPF styczeń 2013'!P8</f>
        <v>197400000</v>
      </c>
      <c r="O48" s="157">
        <f>'WPF styczeń 2013'!Q8</f>
        <v>201200000</v>
      </c>
      <c r="P48" s="157">
        <f>'WPF styczeń 2013'!R8</f>
        <v>204000000</v>
      </c>
      <c r="Q48" s="157">
        <f>'WPF styczeń 2013'!S8</f>
        <v>204900000</v>
      </c>
      <c r="R48" s="505">
        <f>'WPF styczeń 2013'!T8</f>
        <v>204900000</v>
      </c>
      <c r="S48" s="505">
        <f>'WPF styczeń 2013'!U8</f>
        <v>203900000</v>
      </c>
      <c r="T48" s="505">
        <f>'WPF styczeń 2013'!V8</f>
        <v>203900000</v>
      </c>
      <c r="U48" s="505">
        <f>'WPF styczeń 2013'!W8</f>
        <v>203900000</v>
      </c>
      <c r="V48" s="505">
        <f>'WPF styczeń 2013'!AD8</f>
        <v>218200000</v>
      </c>
      <c r="W48" s="505">
        <f>'WPF styczeń 2013'!AE8</f>
        <v>221500000</v>
      </c>
      <c r="X48" s="505">
        <f>'WPF styczeń 2013'!AF8</f>
        <v>225900000</v>
      </c>
    </row>
    <row r="49" spans="1:24" ht="18.75" customHeight="1">
      <c r="B49" s="158">
        <v>12</v>
      </c>
      <c r="C49" s="159" t="s">
        <v>102</v>
      </c>
      <c r="D49" s="160"/>
      <c r="E49" s="160"/>
      <c r="F49" s="161">
        <f>'WPF styczeń 2013'!H12</f>
        <v>146442106.59</v>
      </c>
      <c r="G49" s="161">
        <f>'WPF styczeń 2013'!I12</f>
        <v>167373806</v>
      </c>
      <c r="H49" s="161">
        <f>'WPF styczeń 2013'!J12</f>
        <v>168500000</v>
      </c>
      <c r="I49" s="161">
        <f>'WPF styczeń 2013'!K12</f>
        <v>171000000</v>
      </c>
      <c r="J49" s="161">
        <f>'WPF styczeń 2013'!L12</f>
        <v>174400000</v>
      </c>
      <c r="K49" s="161">
        <f>'WPF styczeń 2013'!M12</f>
        <v>179600000</v>
      </c>
      <c r="L49" s="161">
        <f>'WPF styczeń 2013'!N12</f>
        <v>183100000</v>
      </c>
      <c r="M49" s="161">
        <f>'WPF styczeń 2013'!O12</f>
        <v>186700000</v>
      </c>
      <c r="N49" s="161">
        <f>'WPF styczeń 2013'!P12</f>
        <v>190400000</v>
      </c>
      <c r="O49" s="161">
        <f>'WPF styczeń 2013'!Q12</f>
        <v>194200000</v>
      </c>
      <c r="P49" s="161">
        <f>'WPF styczeń 2013'!R12</f>
        <v>198000000</v>
      </c>
      <c r="Q49" s="161">
        <f>'WPF styczeń 2013'!S12</f>
        <v>201900000</v>
      </c>
      <c r="R49" s="506">
        <f>'WPF styczeń 2013'!T12</f>
        <v>201900000</v>
      </c>
      <c r="S49" s="506">
        <f>'WPF styczeń 2013'!U12</f>
        <v>201900000</v>
      </c>
      <c r="T49" s="506">
        <f>'WPF styczeń 2013'!V12</f>
        <v>201900000</v>
      </c>
      <c r="U49" s="506">
        <f>'WPF styczeń 2013'!W12</f>
        <v>201900000</v>
      </c>
      <c r="V49" s="506">
        <f>'WPF styczeń 2013'!AD12</f>
        <v>214200000</v>
      </c>
      <c r="W49" s="506">
        <f>'WPF styczeń 2013'!AE12</f>
        <v>218500000</v>
      </c>
      <c r="X49" s="506">
        <f>'WPF styczeń 2013'!AF12</f>
        <v>222900000</v>
      </c>
    </row>
    <row r="50" spans="1:24" ht="18.75" customHeight="1">
      <c r="B50" s="162">
        <v>13</v>
      </c>
      <c r="C50" s="163" t="s">
        <v>249</v>
      </c>
      <c r="D50" s="164"/>
      <c r="E50" s="164"/>
      <c r="F50" s="165">
        <f>'WPF styczeń 2013'!H25</f>
        <v>9900000</v>
      </c>
      <c r="G50" s="165">
        <f>'WPF styczeń 2013'!I25</f>
        <v>14500000</v>
      </c>
      <c r="H50" s="165">
        <f>'WPF styczeń 2013'!J25</f>
        <v>10050000</v>
      </c>
      <c r="I50" s="165">
        <f>'WPF styczeń 2013'!K25</f>
        <v>5500000</v>
      </c>
      <c r="J50" s="165">
        <f>'WPF styczeń 2013'!L25</f>
        <v>6700000</v>
      </c>
      <c r="K50" s="165">
        <f>'WPF styczeń 2013'!M25</f>
        <v>5600000</v>
      </c>
      <c r="L50" s="165">
        <f>'WPF styczeń 2013'!N25</f>
        <v>6100000</v>
      </c>
      <c r="M50" s="165">
        <f>'WPF styczeń 2013'!O25</f>
        <v>5500000</v>
      </c>
      <c r="N50" s="165">
        <f>'WPF styczeń 2013'!P25</f>
        <v>4000000</v>
      </c>
      <c r="O50" s="165">
        <f>'WPF styczeń 2013'!Q25</f>
        <v>4000000</v>
      </c>
      <c r="P50" s="165">
        <f>'WPF styczeń 2013'!R25</f>
        <v>3000000</v>
      </c>
      <c r="Q50" s="165">
        <f>'WPF styczeń 2013'!S25</f>
        <v>3000000</v>
      </c>
      <c r="R50" s="507">
        <f>'WPF styczeń 2013'!T25</f>
        <v>3000000</v>
      </c>
      <c r="S50" s="507">
        <f>'WPF styczeń 2013'!U25</f>
        <v>2000000</v>
      </c>
      <c r="T50" s="507">
        <f>'WPF styczeń 2013'!V25</f>
        <v>2000000</v>
      </c>
      <c r="U50" s="507">
        <f>'WPF styczeń 2013'!W25</f>
        <v>2000000</v>
      </c>
      <c r="V50" s="507">
        <f>'WPF styczeń 2013'!AD25</f>
        <v>1000000</v>
      </c>
      <c r="W50" s="507">
        <f>'WPF styczeń 2013'!AE25</f>
        <v>0</v>
      </c>
      <c r="X50" s="507">
        <f>'WPF styczeń 2013'!AF25</f>
        <v>0</v>
      </c>
    </row>
    <row r="51" spans="1:24" s="39" customFormat="1" ht="18" customHeight="1">
      <c r="A51" s="102"/>
      <c r="B51" s="166">
        <v>14</v>
      </c>
      <c r="C51" s="167" t="s">
        <v>250</v>
      </c>
      <c r="D51" s="168"/>
      <c r="E51" s="168"/>
      <c r="F51" s="169">
        <f>'WPF styczeń 2013'!H13</f>
        <v>145486896.59</v>
      </c>
      <c r="G51" s="169">
        <f>'WPF styczeń 2013'!I13</f>
        <v>166253916</v>
      </c>
      <c r="H51" s="169">
        <f>'WPF styczeń 2013'!J13</f>
        <v>159000000</v>
      </c>
      <c r="I51" s="169">
        <f>'WPF styczeń 2013'!K13</f>
        <v>162100000</v>
      </c>
      <c r="J51" s="169">
        <f>'WPF styczeń 2013'!L13</f>
        <v>166900000</v>
      </c>
      <c r="K51" s="169">
        <f>'WPF styczeń 2013'!M13</f>
        <v>171900000</v>
      </c>
      <c r="L51" s="169">
        <f>'WPF styczeń 2013'!N13</f>
        <v>175300000</v>
      </c>
      <c r="M51" s="169">
        <f>'WPF styczeń 2013'!O13</f>
        <v>178800000</v>
      </c>
      <c r="N51" s="169">
        <f>'WPF styczeń 2013'!P13</f>
        <v>184100000</v>
      </c>
      <c r="O51" s="169">
        <f>'WPF styczeń 2013'!Q13</f>
        <v>187700000</v>
      </c>
      <c r="P51" s="169">
        <f>'WPF styczeń 2013'!R13</f>
        <v>191400000</v>
      </c>
      <c r="Q51" s="169">
        <f>'WPF styczeń 2013'!S13</f>
        <v>195200000</v>
      </c>
      <c r="R51" s="508">
        <f>'WPF styczeń 2013'!T13</f>
        <v>197100000</v>
      </c>
      <c r="S51" s="508">
        <f>'WPF styczeń 2013'!U13</f>
        <v>199000000</v>
      </c>
      <c r="T51" s="508">
        <f>'WPF styczeń 2013'!V13</f>
        <v>200100000</v>
      </c>
      <c r="U51" s="508">
        <f>'WPF styczeń 2013'!W13</f>
        <v>200100000</v>
      </c>
      <c r="V51" s="508">
        <f>'WPF styczeń 2013'!AD13</f>
        <v>211500000</v>
      </c>
      <c r="W51" s="508">
        <f>'WPF styczeń 2013'!AE13</f>
        <v>215800000</v>
      </c>
      <c r="X51" s="508">
        <f>'WPF styczeń 2013'!AF13</f>
        <v>220200000</v>
      </c>
    </row>
    <row r="52" spans="1:24" s="39" customFormat="1" ht="12.75">
      <c r="A52" s="102"/>
      <c r="B52" s="129"/>
      <c r="C52" s="170"/>
      <c r="D52" s="171"/>
      <c r="E52" s="171"/>
      <c r="F52" s="171"/>
      <c r="G52" s="171" t="s">
        <v>251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509"/>
      <c r="S52" s="509"/>
      <c r="T52" s="509"/>
      <c r="U52" s="509"/>
      <c r="V52" s="509"/>
      <c r="W52" s="509"/>
      <c r="X52" s="509"/>
    </row>
    <row r="53" spans="1:24" ht="15.75" customHeight="1">
      <c r="B53" s="172">
        <v>15</v>
      </c>
      <c r="C53" s="173" t="s">
        <v>252</v>
      </c>
      <c r="D53" s="174"/>
      <c r="E53" s="174"/>
      <c r="F53" s="175">
        <f>F49-F51</f>
        <v>955210</v>
      </c>
      <c r="G53" s="175">
        <f t="shared" ref="G53:P53" si="19">G49-G51</f>
        <v>1119890</v>
      </c>
      <c r="H53" s="175">
        <f t="shared" si="19"/>
        <v>9500000</v>
      </c>
      <c r="I53" s="175">
        <f t="shared" si="19"/>
        <v>8900000</v>
      </c>
      <c r="J53" s="175">
        <f t="shared" si="19"/>
        <v>7500000</v>
      </c>
      <c r="K53" s="175">
        <f t="shared" si="19"/>
        <v>7700000</v>
      </c>
      <c r="L53" s="175">
        <f t="shared" si="19"/>
        <v>7800000</v>
      </c>
      <c r="M53" s="175">
        <f t="shared" si="19"/>
        <v>7900000</v>
      </c>
      <c r="N53" s="175">
        <f t="shared" si="19"/>
        <v>6300000</v>
      </c>
      <c r="O53" s="175">
        <f t="shared" si="19"/>
        <v>6500000</v>
      </c>
      <c r="P53" s="175">
        <f t="shared" si="19"/>
        <v>6600000</v>
      </c>
      <c r="Q53" s="175">
        <f t="shared" ref="Q53:X53" si="20">Q49-Q51</f>
        <v>6700000</v>
      </c>
      <c r="R53" s="175">
        <f t="shared" si="20"/>
        <v>4800000</v>
      </c>
      <c r="S53" s="175">
        <f t="shared" si="20"/>
        <v>2900000</v>
      </c>
      <c r="T53" s="175">
        <f t="shared" si="20"/>
        <v>1800000</v>
      </c>
      <c r="U53" s="175">
        <f t="shared" si="20"/>
        <v>1800000</v>
      </c>
      <c r="V53" s="175">
        <f t="shared" si="20"/>
        <v>2700000</v>
      </c>
      <c r="W53" s="175">
        <f t="shared" si="20"/>
        <v>2700000</v>
      </c>
      <c r="X53" s="175">
        <f t="shared" si="20"/>
        <v>2700000</v>
      </c>
    </row>
    <row r="54" spans="1:24" s="39" customFormat="1" ht="12.75">
      <c r="A54" s="102"/>
      <c r="B54" s="129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509"/>
      <c r="S54" s="509"/>
      <c r="T54" s="509"/>
      <c r="U54" s="509"/>
      <c r="V54" s="509"/>
      <c r="W54" s="509"/>
      <c r="X54" s="509"/>
    </row>
    <row r="55" spans="1:24" ht="38.25">
      <c r="B55" s="176">
        <v>16</v>
      </c>
      <c r="C55" s="177" t="s">
        <v>253</v>
      </c>
      <c r="D55" s="178"/>
      <c r="E55" s="178"/>
      <c r="F55" s="179">
        <f t="shared" ref="F55:P55" si="21">ROUND(F46/F48*100,2)</f>
        <v>7.51</v>
      </c>
      <c r="G55" s="179">
        <f t="shared" si="21"/>
        <v>7.81</v>
      </c>
      <c r="H55" s="179">
        <f t="shared" si="21"/>
        <v>5.31</v>
      </c>
      <c r="I55" s="179">
        <f t="shared" si="21"/>
        <v>7</v>
      </c>
      <c r="J55" s="179">
        <f t="shared" si="21"/>
        <v>8.0500000000000007</v>
      </c>
      <c r="K55" s="179">
        <f t="shared" si="21"/>
        <v>7.66</v>
      </c>
      <c r="L55" s="179">
        <f t="shared" si="21"/>
        <v>7.19</v>
      </c>
      <c r="M55" s="179">
        <f t="shared" si="21"/>
        <v>7.36</v>
      </c>
      <c r="N55" s="179">
        <f t="shared" si="21"/>
        <v>6.05</v>
      </c>
      <c r="O55" s="179">
        <f t="shared" si="21"/>
        <v>4.74</v>
      </c>
      <c r="P55" s="179">
        <f t="shared" si="21"/>
        <v>4.6100000000000003</v>
      </c>
      <c r="Q55" s="179">
        <f t="shared" ref="Q55:X55" si="22">ROUND(Q46/Q48*100,2)</f>
        <v>1.59</v>
      </c>
      <c r="R55" s="510">
        <f t="shared" si="22"/>
        <v>1.65</v>
      </c>
      <c r="S55" s="510">
        <f t="shared" si="22"/>
        <v>0.96</v>
      </c>
      <c r="T55" s="510">
        <f t="shared" si="22"/>
        <v>0.61</v>
      </c>
      <c r="U55" s="510">
        <f t="shared" si="22"/>
        <v>0.59</v>
      </c>
      <c r="V55" s="510">
        <f t="shared" si="22"/>
        <v>0</v>
      </c>
      <c r="W55" s="510">
        <f t="shared" si="22"/>
        <v>0</v>
      </c>
      <c r="X55" s="510">
        <f t="shared" si="22"/>
        <v>0</v>
      </c>
    </row>
    <row r="56" spans="1:24" ht="58.5" customHeight="1">
      <c r="B56" s="180">
        <v>17</v>
      </c>
      <c r="C56" s="885" t="s">
        <v>254</v>
      </c>
      <c r="D56" s="181"/>
      <c r="E56" s="181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511"/>
      <c r="S56" s="511"/>
      <c r="T56" s="511"/>
      <c r="U56" s="511"/>
      <c r="V56" s="511"/>
      <c r="W56" s="511"/>
      <c r="X56" s="511"/>
    </row>
    <row r="57" spans="1:24" ht="38.25">
      <c r="B57" s="183">
        <v>18</v>
      </c>
      <c r="C57" s="184" t="s">
        <v>255</v>
      </c>
      <c r="D57" s="185"/>
      <c r="E57" s="185"/>
      <c r="F57" s="186">
        <f t="shared" ref="F57:H57" si="23">ROUND((SUM(F42+F37+F39)/F48),4)</f>
        <v>7.51E-2</v>
      </c>
      <c r="G57" s="186">
        <f t="shared" si="23"/>
        <v>7.8100000000000003E-2</v>
      </c>
      <c r="H57" s="186">
        <f t="shared" si="23"/>
        <v>5.3100000000000001E-2</v>
      </c>
      <c r="I57" s="186">
        <f>ROUND((SUM(I42+I37+I39)/I48),4)</f>
        <v>7.0000000000000007E-2</v>
      </c>
      <c r="J57" s="186">
        <f t="shared" ref="J57:P57" si="24">ROUND((SUM(J42+J37+J39)/J48),4)</f>
        <v>8.0500000000000002E-2</v>
      </c>
      <c r="K57" s="186">
        <f t="shared" si="24"/>
        <v>7.6600000000000001E-2</v>
      </c>
      <c r="L57" s="186">
        <f t="shared" si="24"/>
        <v>7.1900000000000006E-2</v>
      </c>
      <c r="M57" s="186">
        <f t="shared" si="24"/>
        <v>7.3599999999999999E-2</v>
      </c>
      <c r="N57" s="186">
        <f t="shared" si="24"/>
        <v>6.0499999999999998E-2</v>
      </c>
      <c r="O57" s="186">
        <f t="shared" si="24"/>
        <v>4.7399999999999998E-2</v>
      </c>
      <c r="P57" s="186">
        <f t="shared" si="24"/>
        <v>4.6100000000000002E-2</v>
      </c>
      <c r="Q57" s="186">
        <f t="shared" ref="Q57:X57" si="25">ROUND((SUM(Q42+Q37+Q39)/Q48),4)</f>
        <v>1.5900000000000001E-2</v>
      </c>
      <c r="R57" s="512">
        <f t="shared" si="25"/>
        <v>1.6500000000000001E-2</v>
      </c>
      <c r="S57" s="512">
        <f t="shared" si="25"/>
        <v>9.5999999999999992E-3</v>
      </c>
      <c r="T57" s="512">
        <f t="shared" si="25"/>
        <v>6.1000000000000004E-3</v>
      </c>
      <c r="U57" s="512">
        <f t="shared" si="25"/>
        <v>5.8999999999999999E-3</v>
      </c>
      <c r="V57" s="512">
        <f t="shared" si="25"/>
        <v>0</v>
      </c>
      <c r="W57" s="512">
        <f t="shared" si="25"/>
        <v>0</v>
      </c>
      <c r="X57" s="512">
        <f t="shared" si="25"/>
        <v>0</v>
      </c>
    </row>
    <row r="58" spans="1:24" ht="45" customHeight="1" thickBot="1">
      <c r="B58" s="187">
        <v>19</v>
      </c>
      <c r="C58" s="188" t="s">
        <v>256</v>
      </c>
      <c r="D58" s="189"/>
      <c r="E58" s="189"/>
      <c r="F58" s="190">
        <v>2.6599999999999999E-2</v>
      </c>
      <c r="G58" s="190">
        <f>'WPF styczeń 2013'!I93</f>
        <v>3.6799999999999999E-2</v>
      </c>
      <c r="H58" s="190">
        <f>'WPF styczeń 2013'!J93</f>
        <v>6.3600000000000004E-2</v>
      </c>
      <c r="I58" s="190">
        <f>'WPF styczeń 2013'!K93</f>
        <v>7.7799999999999994E-2</v>
      </c>
      <c r="J58" s="191">
        <f t="shared" ref="J58:R58" si="26">ROUND((((H49+H50-H51)/H48+(G49+G50-G51)/G48+(I49+I50-I51)/I48)/3),4)</f>
        <v>8.3000000000000004E-2</v>
      </c>
      <c r="K58" s="190">
        <f t="shared" si="26"/>
        <v>8.4400000000000003E-2</v>
      </c>
      <c r="L58" s="190">
        <f t="shared" si="26"/>
        <v>7.7100000000000002E-2</v>
      </c>
      <c r="M58" s="190">
        <f t="shared" si="26"/>
        <v>7.4300000000000005E-2</v>
      </c>
      <c r="N58" s="190">
        <f>ROUND((((L49+L50-L51)/L48+(K49+K50-K51)/K48+(M49+M50-M51)/M48)/3),4)</f>
        <v>7.1199999999999999E-2</v>
      </c>
      <c r="O58" s="190">
        <f>ROUND((((M49+M50-M51)/M48+(L49+L50-L51)/L48+(N49+N50-N51)/N48)/3),4)</f>
        <v>6.4699999999999994E-2</v>
      </c>
      <c r="P58" s="190">
        <f>ROUND((((N49+N50-N51)/N48+(M49+M50-M51)/M48+(O49+O50-O51)/O48)/3),4)</f>
        <v>5.7799999999999997E-2</v>
      </c>
      <c r="Q58" s="190">
        <f t="shared" si="26"/>
        <v>5.0500000000000003E-2</v>
      </c>
      <c r="R58" s="513">
        <f t="shared" si="26"/>
        <v>4.8899999999999999E-2</v>
      </c>
      <c r="S58" s="513">
        <f t="shared" ref="S58:X58" si="27">ROUND((((Q49+Q50-Q51)/Q48+(P49+P50-P51)/P48+(R49+R50-R51)/R48)/3),4)</f>
        <v>4.4200000000000003E-2</v>
      </c>
      <c r="T58" s="513">
        <f t="shared" si="27"/>
        <v>3.6499999999999998E-2</v>
      </c>
      <c r="U58" s="513">
        <f t="shared" si="27"/>
        <v>2.69E-2</v>
      </c>
      <c r="V58" s="513">
        <f t="shared" si="27"/>
        <v>2.0400000000000001E-2</v>
      </c>
      <c r="W58" s="513">
        <f t="shared" si="27"/>
        <v>1.8100000000000002E-2</v>
      </c>
      <c r="X58" s="513">
        <f t="shared" si="27"/>
        <v>1.5900000000000001E-2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password="CC56" sheet="1" objects="1" scenarios="1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R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7"/>
      <c r="N1" s="197"/>
      <c r="O1" s="197"/>
      <c r="P1" s="197"/>
      <c r="Q1" s="197"/>
      <c r="R1" s="197"/>
      <c r="S1" s="197"/>
      <c r="T1" s="197"/>
      <c r="U1" s="1236" t="s">
        <v>258</v>
      </c>
      <c r="V1" s="1236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21.75">
      <c r="A3" s="1318" t="s">
        <v>145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8"/>
      <c r="R3" s="1318"/>
      <c r="S3" s="1318"/>
      <c r="T3" s="1318"/>
      <c r="U3" s="1318"/>
      <c r="V3" s="1318"/>
    </row>
    <row r="4" spans="1:22" ht="52.5" customHeight="1">
      <c r="A4" s="1319" t="s">
        <v>146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1319"/>
      <c r="T4" s="1319"/>
      <c r="U4" s="1319"/>
      <c r="V4" s="1319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320" t="s">
        <v>147</v>
      </c>
      <c r="B6" s="1324" t="s">
        <v>106</v>
      </c>
      <c r="C6" s="1325"/>
      <c r="D6" s="1325" t="s">
        <v>107</v>
      </c>
      <c r="E6" s="1325"/>
      <c r="F6" s="1325" t="s">
        <v>108</v>
      </c>
      <c r="G6" s="1325"/>
      <c r="H6" s="1325"/>
      <c r="I6" s="1325"/>
      <c r="J6" s="1328" t="s">
        <v>109</v>
      </c>
      <c r="K6" s="1329"/>
      <c r="L6" s="1334" t="s">
        <v>110</v>
      </c>
      <c r="M6" s="1328" t="s">
        <v>111</v>
      </c>
      <c r="N6" s="1336"/>
      <c r="O6" s="1336"/>
      <c r="P6" s="1337"/>
      <c r="Q6" s="1337"/>
      <c r="R6" s="1337"/>
      <c r="S6" s="1337"/>
      <c r="T6" s="1337"/>
      <c r="U6" s="1337"/>
      <c r="V6" s="1338"/>
    </row>
    <row r="7" spans="1:22">
      <c r="A7" s="1321"/>
      <c r="B7" s="1326"/>
      <c r="C7" s="1327"/>
      <c r="D7" s="1327"/>
      <c r="E7" s="1327"/>
      <c r="F7" s="1327"/>
      <c r="G7" s="1327"/>
      <c r="H7" s="1327"/>
      <c r="I7" s="1327"/>
      <c r="J7" s="1330"/>
      <c r="K7" s="1331"/>
      <c r="L7" s="1335"/>
      <c r="M7" s="1339"/>
      <c r="N7" s="1340"/>
      <c r="O7" s="1340"/>
      <c r="P7" s="1340"/>
      <c r="Q7" s="1340"/>
      <c r="R7" s="1340"/>
      <c r="S7" s="1340"/>
      <c r="T7" s="1340"/>
      <c r="U7" s="1340"/>
      <c r="V7" s="1341"/>
    </row>
    <row r="8" spans="1:22">
      <c r="A8" s="1321"/>
      <c r="B8" s="1322" t="s">
        <v>112</v>
      </c>
      <c r="C8" s="1352"/>
      <c r="D8" s="1354" t="s">
        <v>113</v>
      </c>
      <c r="E8" s="1352"/>
      <c r="F8" s="1354" t="s">
        <v>114</v>
      </c>
      <c r="G8" s="1355"/>
      <c r="H8" s="1355"/>
      <c r="I8" s="1352"/>
      <c r="J8" s="1330"/>
      <c r="K8" s="1331"/>
      <c r="L8" s="1335"/>
      <c r="M8" s="1342"/>
      <c r="N8" s="1343"/>
      <c r="O8" s="1343"/>
      <c r="P8" s="1343"/>
      <c r="Q8" s="1343"/>
      <c r="R8" s="1343"/>
      <c r="S8" s="1343"/>
      <c r="T8" s="1343"/>
      <c r="U8" s="1343"/>
      <c r="V8" s="1344"/>
    </row>
    <row r="9" spans="1:22">
      <c r="A9" s="1321"/>
      <c r="B9" s="1353"/>
      <c r="C9" s="1333"/>
      <c r="D9" s="1332"/>
      <c r="E9" s="1333"/>
      <c r="F9" s="1332"/>
      <c r="G9" s="1356"/>
      <c r="H9" s="1356"/>
      <c r="I9" s="1333"/>
      <c r="J9" s="1330"/>
      <c r="K9" s="1331"/>
      <c r="L9" s="1335"/>
      <c r="M9" s="1314" t="s">
        <v>148</v>
      </c>
      <c r="N9" s="1314" t="s">
        <v>116</v>
      </c>
      <c r="O9" s="1314" t="s">
        <v>117</v>
      </c>
      <c r="P9" s="1314">
        <v>2012</v>
      </c>
      <c r="Q9" s="1314">
        <v>2013</v>
      </c>
      <c r="R9" s="1314">
        <v>2014</v>
      </c>
      <c r="S9" s="1345" t="s">
        <v>149</v>
      </c>
      <c r="T9" s="1345">
        <v>2020</v>
      </c>
      <c r="U9" s="1345" t="s">
        <v>118</v>
      </c>
      <c r="V9" s="1348"/>
    </row>
    <row r="10" spans="1:22">
      <c r="A10" s="1322"/>
      <c r="B10" s="1322" t="s">
        <v>119</v>
      </c>
      <c r="C10" s="1355"/>
      <c r="D10" s="1355"/>
      <c r="E10" s="1355"/>
      <c r="F10" s="1355"/>
      <c r="G10" s="1355"/>
      <c r="H10" s="1355"/>
      <c r="I10" s="1352"/>
      <c r="J10" s="1330"/>
      <c r="K10" s="1331"/>
      <c r="L10" s="1335"/>
      <c r="M10" s="1357"/>
      <c r="N10" s="1315"/>
      <c r="O10" s="1315"/>
      <c r="P10" s="1315"/>
      <c r="Q10" s="1315"/>
      <c r="R10" s="1315"/>
      <c r="S10" s="1346"/>
      <c r="T10" s="1346"/>
      <c r="U10" s="1346"/>
      <c r="V10" s="1349"/>
    </row>
    <row r="11" spans="1:22">
      <c r="A11" s="1322"/>
      <c r="B11" s="1358"/>
      <c r="C11" s="1359"/>
      <c r="D11" s="1359"/>
      <c r="E11" s="1359"/>
      <c r="F11" s="1359"/>
      <c r="G11" s="1359"/>
      <c r="H11" s="1359"/>
      <c r="I11" s="1331"/>
      <c r="J11" s="1332"/>
      <c r="K11" s="1333"/>
      <c r="L11" s="1335"/>
      <c r="M11" s="1357"/>
      <c r="N11" s="1315"/>
      <c r="O11" s="1315"/>
      <c r="P11" s="1315"/>
      <c r="Q11" s="1315"/>
      <c r="R11" s="1315"/>
      <c r="S11" s="1346"/>
      <c r="T11" s="1346"/>
      <c r="U11" s="1346"/>
      <c r="V11" s="1349"/>
    </row>
    <row r="12" spans="1:22">
      <c r="A12" s="1322"/>
      <c r="B12" s="1358"/>
      <c r="C12" s="1359"/>
      <c r="D12" s="1359"/>
      <c r="E12" s="1359"/>
      <c r="F12" s="1359"/>
      <c r="G12" s="1359"/>
      <c r="H12" s="1359"/>
      <c r="I12" s="1331"/>
      <c r="J12" s="1360" t="s">
        <v>120</v>
      </c>
      <c r="K12" s="1360" t="s">
        <v>121</v>
      </c>
      <c r="L12" s="1327" t="s">
        <v>122</v>
      </c>
      <c r="M12" s="1357"/>
      <c r="N12" s="1315"/>
      <c r="O12" s="1315"/>
      <c r="P12" s="1315"/>
      <c r="Q12" s="1315"/>
      <c r="R12" s="1315"/>
      <c r="S12" s="1346"/>
      <c r="T12" s="1346"/>
      <c r="U12" s="1346"/>
      <c r="V12" s="1349"/>
    </row>
    <row r="13" spans="1:22">
      <c r="A13" s="1322"/>
      <c r="B13" s="1353"/>
      <c r="C13" s="1356"/>
      <c r="D13" s="1356"/>
      <c r="E13" s="1356"/>
      <c r="F13" s="1356"/>
      <c r="G13" s="1356"/>
      <c r="H13" s="1356"/>
      <c r="I13" s="1333"/>
      <c r="J13" s="1360"/>
      <c r="K13" s="1360"/>
      <c r="L13" s="1327"/>
      <c r="M13" s="1357"/>
      <c r="N13" s="1315"/>
      <c r="O13" s="1315"/>
      <c r="P13" s="1315"/>
      <c r="Q13" s="1315"/>
      <c r="R13" s="1315"/>
      <c r="S13" s="1346"/>
      <c r="T13" s="1346"/>
      <c r="U13" s="1346"/>
      <c r="V13" s="1349"/>
    </row>
    <row r="14" spans="1:22">
      <c r="A14" s="1322"/>
      <c r="B14" s="1322" t="s">
        <v>123</v>
      </c>
      <c r="C14" s="1355"/>
      <c r="D14" s="1355"/>
      <c r="E14" s="1355"/>
      <c r="F14" s="1355"/>
      <c r="G14" s="1355"/>
      <c r="H14" s="1355"/>
      <c r="I14" s="1352"/>
      <c r="J14" s="1360"/>
      <c r="K14" s="1360"/>
      <c r="L14" s="1327"/>
      <c r="M14" s="1357"/>
      <c r="N14" s="1315"/>
      <c r="O14" s="1315"/>
      <c r="P14" s="1315"/>
      <c r="Q14" s="1315"/>
      <c r="R14" s="1315"/>
      <c r="S14" s="1346"/>
      <c r="T14" s="1346"/>
      <c r="U14" s="1346"/>
      <c r="V14" s="1349"/>
    </row>
    <row r="15" spans="1:22">
      <c r="A15" s="1322"/>
      <c r="B15" s="1358"/>
      <c r="C15" s="1359"/>
      <c r="D15" s="1359"/>
      <c r="E15" s="1359"/>
      <c r="F15" s="1359"/>
      <c r="G15" s="1359"/>
      <c r="H15" s="1359"/>
      <c r="I15" s="1331"/>
      <c r="J15" s="1360"/>
      <c r="K15" s="1360"/>
      <c r="L15" s="1327"/>
      <c r="M15" s="1357"/>
      <c r="N15" s="1315"/>
      <c r="O15" s="1315"/>
      <c r="P15" s="1315"/>
      <c r="Q15" s="1315"/>
      <c r="R15" s="1315"/>
      <c r="S15" s="1346"/>
      <c r="T15" s="1346"/>
      <c r="U15" s="1346"/>
      <c r="V15" s="1349"/>
    </row>
    <row r="16" spans="1:22">
      <c r="A16" s="1322"/>
      <c r="B16" s="1358"/>
      <c r="C16" s="1359"/>
      <c r="D16" s="1359"/>
      <c r="E16" s="1359"/>
      <c r="F16" s="1359"/>
      <c r="G16" s="1359"/>
      <c r="H16" s="1359"/>
      <c r="I16" s="1331"/>
      <c r="J16" s="1360"/>
      <c r="K16" s="1360"/>
      <c r="L16" s="1327"/>
      <c r="M16" s="1357"/>
      <c r="N16" s="1315"/>
      <c r="O16" s="1315"/>
      <c r="P16" s="1315"/>
      <c r="Q16" s="1315"/>
      <c r="R16" s="1315"/>
      <c r="S16" s="1346"/>
      <c r="T16" s="1346"/>
      <c r="U16" s="1346"/>
      <c r="V16" s="1349"/>
    </row>
    <row r="17" spans="1:22" ht="13.5" thickBot="1">
      <c r="A17" s="1323"/>
      <c r="B17" s="1363"/>
      <c r="C17" s="1364"/>
      <c r="D17" s="1364"/>
      <c r="E17" s="1364"/>
      <c r="F17" s="1364"/>
      <c r="G17" s="1364"/>
      <c r="H17" s="1364"/>
      <c r="I17" s="1365"/>
      <c r="J17" s="1361"/>
      <c r="K17" s="1361"/>
      <c r="L17" s="1362"/>
      <c r="M17" s="1317"/>
      <c r="N17" s="1316"/>
      <c r="O17" s="1316"/>
      <c r="P17" s="1316"/>
      <c r="Q17" s="1317"/>
      <c r="R17" s="1317"/>
      <c r="S17" s="1347"/>
      <c r="T17" s="1347"/>
      <c r="U17" s="1350"/>
      <c r="V17" s="1351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228">
        <v>1</v>
      </c>
      <c r="B19" s="1232" t="s">
        <v>106</v>
      </c>
      <c r="C19" s="1233"/>
      <c r="D19" s="1233">
        <v>801</v>
      </c>
      <c r="E19" s="1233"/>
      <c r="F19" s="1283" t="s">
        <v>150</v>
      </c>
      <c r="G19" s="1283"/>
      <c r="H19" s="1283"/>
      <c r="I19" s="1283"/>
      <c r="J19" s="1284">
        <v>2010</v>
      </c>
      <c r="K19" s="1284">
        <v>2012</v>
      </c>
      <c r="L19" s="1273">
        <f>SUM(N19,L25)</f>
        <v>79012</v>
      </c>
      <c r="M19" s="1252" t="s">
        <v>125</v>
      </c>
      <c r="N19" s="1213">
        <f>SUM(N23:N30)</f>
        <v>16883</v>
      </c>
      <c r="O19" s="1255" t="s">
        <v>117</v>
      </c>
      <c r="P19" s="1213">
        <f>SUM(P23:P30)</f>
        <v>16883</v>
      </c>
      <c r="Q19" s="1213">
        <f t="shared" ref="Q19:T19" si="0">SUM(Q23:Q30)</f>
        <v>0</v>
      </c>
      <c r="R19" s="1213">
        <f t="shared" si="0"/>
        <v>0</v>
      </c>
      <c r="S19" s="1213">
        <f t="shared" si="0"/>
        <v>0</v>
      </c>
      <c r="T19" s="1213">
        <f t="shared" si="0"/>
        <v>0</v>
      </c>
      <c r="U19" s="1216">
        <f>SUM(V23:V30)</f>
        <v>16883</v>
      </c>
      <c r="V19" s="1217"/>
    </row>
    <row r="20" spans="1:22">
      <c r="A20" s="1229"/>
      <c r="B20" s="1234"/>
      <c r="C20" s="1235"/>
      <c r="D20" s="1235"/>
      <c r="E20" s="1235"/>
      <c r="F20" s="1271"/>
      <c r="G20" s="1271"/>
      <c r="H20" s="1271"/>
      <c r="I20" s="1271"/>
      <c r="J20" s="1285"/>
      <c r="K20" s="1285"/>
      <c r="L20" s="1274"/>
      <c r="M20" s="1253"/>
      <c r="N20" s="1214"/>
      <c r="O20" s="1207"/>
      <c r="P20" s="1214"/>
      <c r="Q20" s="1214"/>
      <c r="R20" s="1214"/>
      <c r="S20" s="1214"/>
      <c r="T20" s="1214"/>
      <c r="U20" s="1218"/>
      <c r="V20" s="1219"/>
    </row>
    <row r="21" spans="1:22">
      <c r="A21" s="1229"/>
      <c r="B21" s="1268" t="s">
        <v>112</v>
      </c>
      <c r="C21" s="1207"/>
      <c r="D21" s="1207">
        <v>80195</v>
      </c>
      <c r="E21" s="1207"/>
      <c r="F21" s="1271" t="s">
        <v>139</v>
      </c>
      <c r="G21" s="1271"/>
      <c r="H21" s="1271"/>
      <c r="I21" s="1271"/>
      <c r="J21" s="1285"/>
      <c r="K21" s="1285"/>
      <c r="L21" s="1274"/>
      <c r="M21" s="1253"/>
      <c r="N21" s="1214"/>
      <c r="O21" s="1207"/>
      <c r="P21" s="1214"/>
      <c r="Q21" s="1214"/>
      <c r="R21" s="1214"/>
      <c r="S21" s="1214"/>
      <c r="T21" s="1214"/>
      <c r="U21" s="1218"/>
      <c r="V21" s="1219"/>
    </row>
    <row r="22" spans="1:22">
      <c r="A22" s="1229"/>
      <c r="B22" s="1269"/>
      <c r="C22" s="1270"/>
      <c r="D22" s="1270"/>
      <c r="E22" s="1270"/>
      <c r="F22" s="1272"/>
      <c r="G22" s="1272"/>
      <c r="H22" s="1272"/>
      <c r="I22" s="1272"/>
      <c r="J22" s="1285"/>
      <c r="K22" s="1285"/>
      <c r="L22" s="1274"/>
      <c r="M22" s="1253"/>
      <c r="N22" s="1214"/>
      <c r="O22" s="1207"/>
      <c r="P22" s="1214"/>
      <c r="Q22" s="1214"/>
      <c r="R22" s="1214"/>
      <c r="S22" s="1214"/>
      <c r="T22" s="1214"/>
      <c r="U22" s="1220"/>
      <c r="V22" s="1221"/>
    </row>
    <row r="23" spans="1:22">
      <c r="A23" s="1230"/>
      <c r="B23" s="1230" t="s">
        <v>151</v>
      </c>
      <c r="C23" s="1275"/>
      <c r="D23" s="1275"/>
      <c r="E23" s="1275"/>
      <c r="F23" s="1275"/>
      <c r="G23" s="1275"/>
      <c r="H23" s="1275"/>
      <c r="I23" s="1276"/>
      <c r="J23" s="1286"/>
      <c r="K23" s="1285"/>
      <c r="L23" s="1274"/>
      <c r="M23" s="1262" t="s">
        <v>152</v>
      </c>
      <c r="N23" s="1225">
        <f>SUM(P23:T30)</f>
        <v>16883</v>
      </c>
      <c r="O23" s="1207" t="s">
        <v>117</v>
      </c>
      <c r="P23" s="1225">
        <v>16883</v>
      </c>
      <c r="Q23" s="1225"/>
      <c r="R23" s="1225"/>
      <c r="S23" s="1225"/>
      <c r="T23" s="1225"/>
      <c r="U23" s="1203" t="s">
        <v>153</v>
      </c>
      <c r="V23" s="1237">
        <f>P19</f>
        <v>16883</v>
      </c>
    </row>
    <row r="24" spans="1:22">
      <c r="A24" s="1230"/>
      <c r="B24" s="1277"/>
      <c r="C24" s="1278"/>
      <c r="D24" s="1278"/>
      <c r="E24" s="1278"/>
      <c r="F24" s="1278"/>
      <c r="G24" s="1278"/>
      <c r="H24" s="1278"/>
      <c r="I24" s="1279"/>
      <c r="J24" s="1286"/>
      <c r="K24" s="1285"/>
      <c r="L24" s="1274"/>
      <c r="M24" s="1263"/>
      <c r="N24" s="1226"/>
      <c r="O24" s="1207"/>
      <c r="P24" s="1226"/>
      <c r="Q24" s="1226"/>
      <c r="R24" s="1226"/>
      <c r="S24" s="1226"/>
      <c r="T24" s="1226"/>
      <c r="U24" s="1204"/>
      <c r="V24" s="1238"/>
    </row>
    <row r="25" spans="1:22">
      <c r="A25" s="1230"/>
      <c r="B25" s="1277"/>
      <c r="C25" s="1278"/>
      <c r="D25" s="1278"/>
      <c r="E25" s="1278"/>
      <c r="F25" s="1278"/>
      <c r="G25" s="1278"/>
      <c r="H25" s="1278"/>
      <c r="I25" s="1279"/>
      <c r="J25" s="1286"/>
      <c r="K25" s="1285"/>
      <c r="L25" s="1288">
        <v>62129</v>
      </c>
      <c r="M25" s="1263"/>
      <c r="N25" s="1226"/>
      <c r="O25" s="1207"/>
      <c r="P25" s="1226"/>
      <c r="Q25" s="1226"/>
      <c r="R25" s="1226"/>
      <c r="S25" s="1226"/>
      <c r="T25" s="1226"/>
      <c r="U25" s="1204" t="s">
        <v>154</v>
      </c>
      <c r="V25" s="1238">
        <f>Q19</f>
        <v>0</v>
      </c>
    </row>
    <row r="26" spans="1:22">
      <c r="A26" s="1230"/>
      <c r="B26" s="1280"/>
      <c r="C26" s="1281"/>
      <c r="D26" s="1281"/>
      <c r="E26" s="1281"/>
      <c r="F26" s="1281"/>
      <c r="G26" s="1281"/>
      <c r="H26" s="1281"/>
      <c r="I26" s="1282"/>
      <c r="J26" s="1286"/>
      <c r="K26" s="1285"/>
      <c r="L26" s="1288"/>
      <c r="M26" s="1263"/>
      <c r="N26" s="1226"/>
      <c r="O26" s="1207"/>
      <c r="P26" s="1226"/>
      <c r="Q26" s="1226"/>
      <c r="R26" s="1226"/>
      <c r="S26" s="1226"/>
      <c r="T26" s="1226"/>
      <c r="U26" s="1204"/>
      <c r="V26" s="1238"/>
    </row>
    <row r="27" spans="1:22">
      <c r="A27" s="1230"/>
      <c r="B27" s="1256" t="s">
        <v>155</v>
      </c>
      <c r="C27" s="1257"/>
      <c r="D27" s="1257"/>
      <c r="E27" s="1257"/>
      <c r="F27" s="1257"/>
      <c r="G27" s="1257"/>
      <c r="H27" s="1257"/>
      <c r="I27" s="1258"/>
      <c r="J27" s="1285"/>
      <c r="K27" s="1285"/>
      <c r="L27" s="1288"/>
      <c r="M27" s="1263"/>
      <c r="N27" s="1226"/>
      <c r="O27" s="1207"/>
      <c r="P27" s="1226"/>
      <c r="Q27" s="1226"/>
      <c r="R27" s="1226"/>
      <c r="S27" s="1226"/>
      <c r="T27" s="1226"/>
      <c r="U27" s="1200"/>
      <c r="V27" s="1199">
        <f>R19</f>
        <v>0</v>
      </c>
    </row>
    <row r="28" spans="1:22">
      <c r="A28" s="1230"/>
      <c r="B28" s="1256"/>
      <c r="C28" s="1257"/>
      <c r="D28" s="1257"/>
      <c r="E28" s="1257"/>
      <c r="F28" s="1257"/>
      <c r="G28" s="1257"/>
      <c r="H28" s="1257"/>
      <c r="I28" s="1258"/>
      <c r="J28" s="1285"/>
      <c r="K28" s="1285"/>
      <c r="L28" s="1288"/>
      <c r="M28" s="1263"/>
      <c r="N28" s="1226"/>
      <c r="O28" s="1207"/>
      <c r="P28" s="1226"/>
      <c r="Q28" s="1226"/>
      <c r="R28" s="1226"/>
      <c r="S28" s="1226"/>
      <c r="T28" s="1226"/>
      <c r="U28" s="1200"/>
      <c r="V28" s="1199"/>
    </row>
    <row r="29" spans="1:22">
      <c r="A29" s="1230"/>
      <c r="B29" s="1256"/>
      <c r="C29" s="1257"/>
      <c r="D29" s="1257"/>
      <c r="E29" s="1257"/>
      <c r="F29" s="1257"/>
      <c r="G29" s="1257"/>
      <c r="H29" s="1257"/>
      <c r="I29" s="1258"/>
      <c r="J29" s="1285"/>
      <c r="K29" s="1285"/>
      <c r="L29" s="1288"/>
      <c r="M29" s="1263"/>
      <c r="N29" s="1226"/>
      <c r="O29" s="1207"/>
      <c r="P29" s="1226"/>
      <c r="Q29" s="1226"/>
      <c r="R29" s="1226"/>
      <c r="S29" s="1226"/>
      <c r="T29" s="1226"/>
      <c r="U29" s="1200"/>
      <c r="V29" s="1199">
        <f>S19</f>
        <v>0</v>
      </c>
    </row>
    <row r="30" spans="1:22" ht="13.5" thickBot="1">
      <c r="A30" s="1231"/>
      <c r="B30" s="1259"/>
      <c r="C30" s="1260"/>
      <c r="D30" s="1260"/>
      <c r="E30" s="1260"/>
      <c r="F30" s="1260"/>
      <c r="G30" s="1260"/>
      <c r="H30" s="1260"/>
      <c r="I30" s="1261"/>
      <c r="J30" s="1287"/>
      <c r="K30" s="1287"/>
      <c r="L30" s="1289"/>
      <c r="M30" s="1264"/>
      <c r="N30" s="1222"/>
      <c r="O30" s="1265"/>
      <c r="P30" s="1222"/>
      <c r="Q30" s="1222"/>
      <c r="R30" s="1222"/>
      <c r="S30" s="1222"/>
      <c r="T30" s="1222"/>
      <c r="U30" s="1201"/>
      <c r="V30" s="1202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228">
        <v>2</v>
      </c>
      <c r="B32" s="1232" t="s">
        <v>106</v>
      </c>
      <c r="C32" s="1233"/>
      <c r="D32" s="1233">
        <v>801</v>
      </c>
      <c r="E32" s="1233"/>
      <c r="F32" s="1283" t="s">
        <v>150</v>
      </c>
      <c r="G32" s="1283"/>
      <c r="H32" s="1283"/>
      <c r="I32" s="1283"/>
      <c r="J32" s="1284">
        <v>2010</v>
      </c>
      <c r="K32" s="1284">
        <v>2012</v>
      </c>
      <c r="L32" s="1273">
        <f>SUM(N32,L38)</f>
        <v>463598</v>
      </c>
      <c r="M32" s="1252" t="s">
        <v>125</v>
      </c>
      <c r="N32" s="1213">
        <f>SUM(N36:N43)</f>
        <v>128413</v>
      </c>
      <c r="O32" s="1255" t="s">
        <v>117</v>
      </c>
      <c r="P32" s="1213">
        <f>SUM(P36:P43)</f>
        <v>128413</v>
      </c>
      <c r="Q32" s="1213">
        <f t="shared" ref="Q32:T32" si="1">SUM(Q36:Q43)</f>
        <v>0</v>
      </c>
      <c r="R32" s="1213">
        <f t="shared" si="1"/>
        <v>0</v>
      </c>
      <c r="S32" s="1213">
        <f t="shared" si="1"/>
        <v>0</v>
      </c>
      <c r="T32" s="1213">
        <f t="shared" si="1"/>
        <v>0</v>
      </c>
      <c r="U32" s="1216">
        <f>SUM(V36:V43)</f>
        <v>128413</v>
      </c>
      <c r="V32" s="1217"/>
    </row>
    <row r="33" spans="1:22">
      <c r="A33" s="1229"/>
      <c r="B33" s="1234"/>
      <c r="C33" s="1235"/>
      <c r="D33" s="1235"/>
      <c r="E33" s="1235"/>
      <c r="F33" s="1271"/>
      <c r="G33" s="1271"/>
      <c r="H33" s="1271"/>
      <c r="I33" s="1271"/>
      <c r="J33" s="1285"/>
      <c r="K33" s="1285"/>
      <c r="L33" s="1274"/>
      <c r="M33" s="1253"/>
      <c r="N33" s="1214"/>
      <c r="O33" s="1207"/>
      <c r="P33" s="1214"/>
      <c r="Q33" s="1214"/>
      <c r="R33" s="1214"/>
      <c r="S33" s="1214"/>
      <c r="T33" s="1214"/>
      <c r="U33" s="1218"/>
      <c r="V33" s="1219"/>
    </row>
    <row r="34" spans="1:22">
      <c r="A34" s="1229"/>
      <c r="B34" s="1268" t="s">
        <v>112</v>
      </c>
      <c r="C34" s="1207"/>
      <c r="D34" s="1207">
        <v>80195</v>
      </c>
      <c r="E34" s="1207"/>
      <c r="F34" s="1271" t="s">
        <v>139</v>
      </c>
      <c r="G34" s="1271"/>
      <c r="H34" s="1271"/>
      <c r="I34" s="1271"/>
      <c r="J34" s="1285"/>
      <c r="K34" s="1285"/>
      <c r="L34" s="1274"/>
      <c r="M34" s="1253"/>
      <c r="N34" s="1214"/>
      <c r="O34" s="1207"/>
      <c r="P34" s="1214"/>
      <c r="Q34" s="1214"/>
      <c r="R34" s="1214"/>
      <c r="S34" s="1214"/>
      <c r="T34" s="1214"/>
      <c r="U34" s="1218"/>
      <c r="V34" s="1219"/>
    </row>
    <row r="35" spans="1:22">
      <c r="A35" s="1229"/>
      <c r="B35" s="1269"/>
      <c r="C35" s="1270"/>
      <c r="D35" s="1270"/>
      <c r="E35" s="1270"/>
      <c r="F35" s="1272"/>
      <c r="G35" s="1272"/>
      <c r="H35" s="1272"/>
      <c r="I35" s="1272"/>
      <c r="J35" s="1285"/>
      <c r="K35" s="1285"/>
      <c r="L35" s="1274"/>
      <c r="M35" s="1253"/>
      <c r="N35" s="1214"/>
      <c r="O35" s="1207"/>
      <c r="P35" s="1214"/>
      <c r="Q35" s="1214"/>
      <c r="R35" s="1214"/>
      <c r="S35" s="1214"/>
      <c r="T35" s="1214"/>
      <c r="U35" s="1220"/>
      <c r="V35" s="1221"/>
    </row>
    <row r="36" spans="1:22" ht="13.5" thickBot="1">
      <c r="A36" s="1230"/>
      <c r="B36" s="1230" t="s">
        <v>156</v>
      </c>
      <c r="C36" s="1275"/>
      <c r="D36" s="1275"/>
      <c r="E36" s="1275"/>
      <c r="F36" s="1275"/>
      <c r="G36" s="1275"/>
      <c r="H36" s="1275"/>
      <c r="I36" s="1276"/>
      <c r="J36" s="1286"/>
      <c r="K36" s="1285"/>
      <c r="L36" s="1274"/>
      <c r="M36" s="1205" t="s">
        <v>152</v>
      </c>
      <c r="N36" s="1206">
        <f>SUM(P36:T39)</f>
        <v>109152</v>
      </c>
      <c r="O36" s="1207" t="s">
        <v>117</v>
      </c>
      <c r="P36" s="1206">
        <v>109152</v>
      </c>
      <c r="Q36" s="1206"/>
      <c r="R36" s="1206"/>
      <c r="S36" s="1206"/>
      <c r="T36" s="1222"/>
      <c r="U36" s="1203" t="s">
        <v>153</v>
      </c>
      <c r="V36" s="1237">
        <f>P32</f>
        <v>128413</v>
      </c>
    </row>
    <row r="37" spans="1:22" ht="14.25" thickTop="1" thickBot="1">
      <c r="A37" s="1230"/>
      <c r="B37" s="1277"/>
      <c r="C37" s="1278"/>
      <c r="D37" s="1278"/>
      <c r="E37" s="1278"/>
      <c r="F37" s="1278"/>
      <c r="G37" s="1278"/>
      <c r="H37" s="1278"/>
      <c r="I37" s="1279"/>
      <c r="J37" s="1286"/>
      <c r="K37" s="1285"/>
      <c r="L37" s="1274"/>
      <c r="M37" s="1205"/>
      <c r="N37" s="1207"/>
      <c r="O37" s="1207"/>
      <c r="P37" s="1206"/>
      <c r="Q37" s="1206"/>
      <c r="R37" s="1206"/>
      <c r="S37" s="1206"/>
      <c r="T37" s="1223"/>
      <c r="U37" s="1204"/>
      <c r="V37" s="1238"/>
    </row>
    <row r="38" spans="1:22" ht="14.25" thickTop="1" thickBot="1">
      <c r="A38" s="1230"/>
      <c r="B38" s="1277"/>
      <c r="C38" s="1278"/>
      <c r="D38" s="1278"/>
      <c r="E38" s="1278"/>
      <c r="F38" s="1278"/>
      <c r="G38" s="1278"/>
      <c r="H38" s="1278"/>
      <c r="I38" s="1279"/>
      <c r="J38" s="1286"/>
      <c r="K38" s="1285"/>
      <c r="L38" s="1288">
        <v>335185</v>
      </c>
      <c r="M38" s="1205"/>
      <c r="N38" s="1207"/>
      <c r="O38" s="1207"/>
      <c r="P38" s="1206"/>
      <c r="Q38" s="1206"/>
      <c r="R38" s="1206"/>
      <c r="S38" s="1206"/>
      <c r="T38" s="1223"/>
      <c r="U38" s="1204" t="s">
        <v>154</v>
      </c>
      <c r="V38" s="1238">
        <f>Q32</f>
        <v>0</v>
      </c>
    </row>
    <row r="39" spans="1:22" ht="13.5" thickTop="1">
      <c r="A39" s="1230"/>
      <c r="B39" s="1280"/>
      <c r="C39" s="1281"/>
      <c r="D39" s="1281"/>
      <c r="E39" s="1281"/>
      <c r="F39" s="1281"/>
      <c r="G39" s="1281"/>
      <c r="H39" s="1281"/>
      <c r="I39" s="1282"/>
      <c r="J39" s="1286"/>
      <c r="K39" s="1285"/>
      <c r="L39" s="1288"/>
      <c r="M39" s="1205"/>
      <c r="N39" s="1207"/>
      <c r="O39" s="1207"/>
      <c r="P39" s="1206"/>
      <c r="Q39" s="1206"/>
      <c r="R39" s="1206"/>
      <c r="S39" s="1206"/>
      <c r="T39" s="1290"/>
      <c r="U39" s="1204"/>
      <c r="V39" s="1238"/>
    </row>
    <row r="40" spans="1:22" ht="13.5" thickBot="1">
      <c r="A40" s="1230"/>
      <c r="B40" s="1256" t="s">
        <v>157</v>
      </c>
      <c r="C40" s="1257"/>
      <c r="D40" s="1257"/>
      <c r="E40" s="1257"/>
      <c r="F40" s="1257"/>
      <c r="G40" s="1257"/>
      <c r="H40" s="1257"/>
      <c r="I40" s="1258"/>
      <c r="J40" s="1285"/>
      <c r="K40" s="1285"/>
      <c r="L40" s="1288"/>
      <c r="M40" s="1262" t="s">
        <v>158</v>
      </c>
      <c r="N40" s="1206">
        <f>SUM(P40:T43)</f>
        <v>19261</v>
      </c>
      <c r="O40" s="1207" t="s">
        <v>117</v>
      </c>
      <c r="P40" s="1206">
        <v>19261</v>
      </c>
      <c r="Q40" s="1206"/>
      <c r="R40" s="1206"/>
      <c r="S40" s="1206"/>
      <c r="T40" s="1222"/>
      <c r="U40" s="1204"/>
      <c r="V40" s="1199">
        <f>R32</f>
        <v>0</v>
      </c>
    </row>
    <row r="41" spans="1:22" ht="14.25" thickTop="1" thickBot="1">
      <c r="A41" s="1230"/>
      <c r="B41" s="1256"/>
      <c r="C41" s="1257"/>
      <c r="D41" s="1257"/>
      <c r="E41" s="1257"/>
      <c r="F41" s="1257"/>
      <c r="G41" s="1257"/>
      <c r="H41" s="1257"/>
      <c r="I41" s="1258"/>
      <c r="J41" s="1285"/>
      <c r="K41" s="1285"/>
      <c r="L41" s="1288"/>
      <c r="M41" s="1263"/>
      <c r="N41" s="1207"/>
      <c r="O41" s="1207"/>
      <c r="P41" s="1206"/>
      <c r="Q41" s="1206"/>
      <c r="R41" s="1206"/>
      <c r="S41" s="1206"/>
      <c r="T41" s="1223"/>
      <c r="U41" s="1204"/>
      <c r="V41" s="1199"/>
    </row>
    <row r="42" spans="1:22" ht="14.25" thickTop="1" thickBot="1">
      <c r="A42" s="1230"/>
      <c r="B42" s="1256"/>
      <c r="C42" s="1257"/>
      <c r="D42" s="1257"/>
      <c r="E42" s="1257"/>
      <c r="F42" s="1257"/>
      <c r="G42" s="1257"/>
      <c r="H42" s="1257"/>
      <c r="I42" s="1258"/>
      <c r="J42" s="1285"/>
      <c r="K42" s="1285"/>
      <c r="L42" s="1288"/>
      <c r="M42" s="1263"/>
      <c r="N42" s="1207"/>
      <c r="O42" s="1207"/>
      <c r="P42" s="1206"/>
      <c r="Q42" s="1206"/>
      <c r="R42" s="1206"/>
      <c r="S42" s="1206"/>
      <c r="T42" s="1223"/>
      <c r="U42" s="1204"/>
      <c r="V42" s="1199">
        <f>S32</f>
        <v>0</v>
      </c>
    </row>
    <row r="43" spans="1:22" ht="14.25" thickTop="1" thickBot="1">
      <c r="A43" s="1231"/>
      <c r="B43" s="1259"/>
      <c r="C43" s="1260"/>
      <c r="D43" s="1260"/>
      <c r="E43" s="1260"/>
      <c r="F43" s="1260"/>
      <c r="G43" s="1260"/>
      <c r="H43" s="1260"/>
      <c r="I43" s="1261"/>
      <c r="J43" s="1287"/>
      <c r="K43" s="1287"/>
      <c r="L43" s="1289"/>
      <c r="M43" s="1264"/>
      <c r="N43" s="1265"/>
      <c r="O43" s="1265"/>
      <c r="P43" s="1212"/>
      <c r="Q43" s="1212"/>
      <c r="R43" s="1212"/>
      <c r="S43" s="1212"/>
      <c r="T43" s="1223"/>
      <c r="U43" s="1313"/>
      <c r="V43" s="1202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228">
        <v>3</v>
      </c>
      <c r="B45" s="1232" t="s">
        <v>106</v>
      </c>
      <c r="C45" s="1233"/>
      <c r="D45" s="1233">
        <v>852</v>
      </c>
      <c r="E45" s="1233"/>
      <c r="F45" s="1283" t="s">
        <v>159</v>
      </c>
      <c r="G45" s="1283"/>
      <c r="H45" s="1283"/>
      <c r="I45" s="1283"/>
      <c r="J45" s="1284">
        <v>2008</v>
      </c>
      <c r="K45" s="1284">
        <v>2013</v>
      </c>
      <c r="L45" s="1310">
        <f>SUM(N45,L53)</f>
        <v>3446002</v>
      </c>
      <c r="M45" s="1252" t="s">
        <v>125</v>
      </c>
      <c r="N45" s="1213">
        <f>SUM(N49:N60)</f>
        <v>1321338</v>
      </c>
      <c r="O45" s="1255" t="s">
        <v>117</v>
      </c>
      <c r="P45" s="1213">
        <f t="shared" ref="P45:T45" si="2">SUM(P49:P60)</f>
        <v>660669</v>
      </c>
      <c r="Q45" s="1213">
        <f t="shared" si="2"/>
        <v>660669</v>
      </c>
      <c r="R45" s="1213">
        <f t="shared" si="2"/>
        <v>0</v>
      </c>
      <c r="S45" s="1213">
        <f t="shared" si="2"/>
        <v>0</v>
      </c>
      <c r="T45" s="1213">
        <f t="shared" si="2"/>
        <v>0</v>
      </c>
      <c r="U45" s="1307">
        <f>SUM(V49:V60)</f>
        <v>1321338</v>
      </c>
      <c r="V45" s="1217"/>
    </row>
    <row r="46" spans="1:22">
      <c r="A46" s="1229"/>
      <c r="B46" s="1234"/>
      <c r="C46" s="1235"/>
      <c r="D46" s="1235"/>
      <c r="E46" s="1235"/>
      <c r="F46" s="1271"/>
      <c r="G46" s="1271"/>
      <c r="H46" s="1271"/>
      <c r="I46" s="1271"/>
      <c r="J46" s="1285"/>
      <c r="K46" s="1285"/>
      <c r="L46" s="1311"/>
      <c r="M46" s="1253"/>
      <c r="N46" s="1214"/>
      <c r="O46" s="1207"/>
      <c r="P46" s="1214"/>
      <c r="Q46" s="1214"/>
      <c r="R46" s="1214"/>
      <c r="S46" s="1214"/>
      <c r="T46" s="1214"/>
      <c r="U46" s="1308"/>
      <c r="V46" s="1219"/>
    </row>
    <row r="47" spans="1:22">
      <c r="A47" s="1229"/>
      <c r="B47" s="1268" t="s">
        <v>112</v>
      </c>
      <c r="C47" s="1207"/>
      <c r="D47" s="1207">
        <v>85214</v>
      </c>
      <c r="E47" s="1207"/>
      <c r="F47" s="1271" t="s">
        <v>160</v>
      </c>
      <c r="G47" s="1271"/>
      <c r="H47" s="1271"/>
      <c r="I47" s="1271"/>
      <c r="J47" s="1285"/>
      <c r="K47" s="1285"/>
      <c r="L47" s="1311"/>
      <c r="M47" s="1253"/>
      <c r="N47" s="1214"/>
      <c r="O47" s="1207"/>
      <c r="P47" s="1214"/>
      <c r="Q47" s="1214"/>
      <c r="R47" s="1214"/>
      <c r="S47" s="1214"/>
      <c r="T47" s="1214"/>
      <c r="U47" s="1308"/>
      <c r="V47" s="1219"/>
    </row>
    <row r="48" spans="1:22">
      <c r="A48" s="1229"/>
      <c r="B48" s="1269"/>
      <c r="C48" s="1270"/>
      <c r="D48" s="1270"/>
      <c r="E48" s="1270"/>
      <c r="F48" s="1272"/>
      <c r="G48" s="1272"/>
      <c r="H48" s="1272"/>
      <c r="I48" s="1272"/>
      <c r="J48" s="1285"/>
      <c r="K48" s="1285"/>
      <c r="L48" s="1311"/>
      <c r="M48" s="1253"/>
      <c r="N48" s="1214"/>
      <c r="O48" s="1207"/>
      <c r="P48" s="1214"/>
      <c r="Q48" s="1214"/>
      <c r="R48" s="1214"/>
      <c r="S48" s="1214"/>
      <c r="T48" s="1214"/>
      <c r="U48" s="1309"/>
      <c r="V48" s="1221"/>
    </row>
    <row r="49" spans="1:22">
      <c r="A49" s="1230"/>
      <c r="B49" s="1268" t="s">
        <v>112</v>
      </c>
      <c r="C49" s="1207"/>
      <c r="D49" s="1207">
        <v>85295</v>
      </c>
      <c r="E49" s="1207"/>
      <c r="F49" s="1271" t="s">
        <v>139</v>
      </c>
      <c r="G49" s="1271"/>
      <c r="H49" s="1271"/>
      <c r="I49" s="1271"/>
      <c r="J49" s="1286"/>
      <c r="K49" s="1285"/>
      <c r="L49" s="1311"/>
      <c r="M49" s="1205" t="s">
        <v>161</v>
      </c>
      <c r="N49" s="1206">
        <f>SUM(P49:T52)</f>
        <v>162310</v>
      </c>
      <c r="O49" s="1207" t="s">
        <v>117</v>
      </c>
      <c r="P49" s="1206">
        <v>81155</v>
      </c>
      <c r="Q49" s="1206">
        <v>81155</v>
      </c>
      <c r="R49" s="1206"/>
      <c r="S49" s="1206"/>
      <c r="T49" s="1206"/>
      <c r="U49" s="1306" t="s">
        <v>153</v>
      </c>
      <c r="V49" s="1237">
        <f>P45</f>
        <v>660669</v>
      </c>
    </row>
    <row r="50" spans="1:22">
      <c r="A50" s="1230"/>
      <c r="B50" s="1268"/>
      <c r="C50" s="1207"/>
      <c r="D50" s="1270"/>
      <c r="E50" s="1270"/>
      <c r="F50" s="1272"/>
      <c r="G50" s="1272"/>
      <c r="H50" s="1272"/>
      <c r="I50" s="1272"/>
      <c r="J50" s="1286"/>
      <c r="K50" s="1285"/>
      <c r="L50" s="1311"/>
      <c r="M50" s="1205"/>
      <c r="N50" s="1206"/>
      <c r="O50" s="1207"/>
      <c r="P50" s="1206"/>
      <c r="Q50" s="1206"/>
      <c r="R50" s="1206"/>
      <c r="S50" s="1206"/>
      <c r="T50" s="1206"/>
      <c r="U50" s="1299"/>
      <c r="V50" s="1238"/>
    </row>
    <row r="51" spans="1:22">
      <c r="A51" s="1230"/>
      <c r="B51" s="1230" t="s">
        <v>162</v>
      </c>
      <c r="C51" s="1275"/>
      <c r="D51" s="1275"/>
      <c r="E51" s="1275"/>
      <c r="F51" s="1275"/>
      <c r="G51" s="1275"/>
      <c r="H51" s="1275"/>
      <c r="I51" s="1276"/>
      <c r="J51" s="1286"/>
      <c r="K51" s="1285"/>
      <c r="L51" s="1311"/>
      <c r="M51" s="1205"/>
      <c r="N51" s="1206"/>
      <c r="O51" s="1207"/>
      <c r="P51" s="1206"/>
      <c r="Q51" s="1206"/>
      <c r="R51" s="1206"/>
      <c r="S51" s="1206"/>
      <c r="T51" s="1206"/>
      <c r="U51" s="1299" t="s">
        <v>154</v>
      </c>
      <c r="V51" s="1238">
        <f>Q45</f>
        <v>660669</v>
      </c>
    </row>
    <row r="52" spans="1:22">
      <c r="A52" s="1230"/>
      <c r="B52" s="1277"/>
      <c r="C52" s="1278"/>
      <c r="D52" s="1278"/>
      <c r="E52" s="1278"/>
      <c r="F52" s="1278"/>
      <c r="G52" s="1278"/>
      <c r="H52" s="1278"/>
      <c r="I52" s="1279"/>
      <c r="J52" s="1286"/>
      <c r="K52" s="1285"/>
      <c r="L52" s="1312"/>
      <c r="M52" s="1262"/>
      <c r="N52" s="1225"/>
      <c r="O52" s="1207"/>
      <c r="P52" s="1225"/>
      <c r="Q52" s="1225"/>
      <c r="R52" s="1225"/>
      <c r="S52" s="1206"/>
      <c r="T52" s="1206"/>
      <c r="U52" s="1299"/>
      <c r="V52" s="1238"/>
    </row>
    <row r="53" spans="1:22">
      <c r="A53" s="1230"/>
      <c r="B53" s="1277"/>
      <c r="C53" s="1278"/>
      <c r="D53" s="1278"/>
      <c r="E53" s="1278"/>
      <c r="F53" s="1278"/>
      <c r="G53" s="1278"/>
      <c r="H53" s="1278"/>
      <c r="I53" s="1279"/>
      <c r="J53" s="1285"/>
      <c r="K53" s="1285"/>
      <c r="L53" s="1300">
        <v>2124664</v>
      </c>
      <c r="M53" s="1262" t="s">
        <v>152</v>
      </c>
      <c r="N53" s="1206">
        <f>SUM(P53:T56)</f>
        <v>1100740</v>
      </c>
      <c r="O53" s="1207" t="s">
        <v>117</v>
      </c>
      <c r="P53" s="1225">
        <v>550370</v>
      </c>
      <c r="Q53" s="1225">
        <v>550370</v>
      </c>
      <c r="R53" s="1225"/>
      <c r="S53" s="1206"/>
      <c r="T53" s="1206"/>
      <c r="U53" s="1299" t="s">
        <v>163</v>
      </c>
      <c r="V53" s="1199">
        <f>R45</f>
        <v>0</v>
      </c>
    </row>
    <row r="54" spans="1:22">
      <c r="A54" s="1230"/>
      <c r="B54" s="1277"/>
      <c r="C54" s="1278"/>
      <c r="D54" s="1278"/>
      <c r="E54" s="1278"/>
      <c r="F54" s="1278"/>
      <c r="G54" s="1278"/>
      <c r="H54" s="1278"/>
      <c r="I54" s="1279"/>
      <c r="J54" s="1285"/>
      <c r="K54" s="1285"/>
      <c r="L54" s="1301"/>
      <c r="M54" s="1263"/>
      <c r="N54" s="1206"/>
      <c r="O54" s="1207"/>
      <c r="P54" s="1226"/>
      <c r="Q54" s="1226"/>
      <c r="R54" s="1226"/>
      <c r="S54" s="1206"/>
      <c r="T54" s="1206"/>
      <c r="U54" s="1299"/>
      <c r="V54" s="1199"/>
    </row>
    <row r="55" spans="1:22">
      <c r="A55" s="1230"/>
      <c r="B55" s="1277"/>
      <c r="C55" s="1278"/>
      <c r="D55" s="1278"/>
      <c r="E55" s="1278"/>
      <c r="F55" s="1278"/>
      <c r="G55" s="1278"/>
      <c r="H55" s="1278"/>
      <c r="I55" s="1279"/>
      <c r="J55" s="1285"/>
      <c r="K55" s="1285"/>
      <c r="L55" s="1301"/>
      <c r="M55" s="1263"/>
      <c r="N55" s="1206"/>
      <c r="O55" s="1207"/>
      <c r="P55" s="1226"/>
      <c r="Q55" s="1226"/>
      <c r="R55" s="1226"/>
      <c r="S55" s="1206"/>
      <c r="T55" s="1206"/>
      <c r="U55" s="1299"/>
      <c r="V55" s="1199">
        <f>S45</f>
        <v>0</v>
      </c>
    </row>
    <row r="56" spans="1:22">
      <c r="A56" s="1230"/>
      <c r="B56" s="1280"/>
      <c r="C56" s="1281"/>
      <c r="D56" s="1281"/>
      <c r="E56" s="1281"/>
      <c r="F56" s="1281"/>
      <c r="G56" s="1281"/>
      <c r="H56" s="1281"/>
      <c r="I56" s="1282"/>
      <c r="J56" s="1285"/>
      <c r="K56" s="1285"/>
      <c r="L56" s="1301"/>
      <c r="M56" s="1303"/>
      <c r="N56" s="1225"/>
      <c r="O56" s="1207"/>
      <c r="P56" s="1227"/>
      <c r="Q56" s="1227"/>
      <c r="R56" s="1227"/>
      <c r="S56" s="1206"/>
      <c r="T56" s="1206"/>
      <c r="U56" s="1299"/>
      <c r="V56" s="1199"/>
    </row>
    <row r="57" spans="1:22">
      <c r="A57" s="1230"/>
      <c r="B57" s="1256" t="s">
        <v>164</v>
      </c>
      <c r="C57" s="1257"/>
      <c r="D57" s="1257"/>
      <c r="E57" s="1257"/>
      <c r="F57" s="1257"/>
      <c r="G57" s="1257"/>
      <c r="H57" s="1257"/>
      <c r="I57" s="1258"/>
      <c r="J57" s="1285"/>
      <c r="K57" s="1285"/>
      <c r="L57" s="1301"/>
      <c r="M57" s="1262" t="s">
        <v>165</v>
      </c>
      <c r="N57" s="1206">
        <f>SUM(P57:T60)</f>
        <v>58288</v>
      </c>
      <c r="O57" s="1207" t="s">
        <v>117</v>
      </c>
      <c r="P57" s="1225">
        <v>29144</v>
      </c>
      <c r="Q57" s="1225">
        <v>29144</v>
      </c>
      <c r="R57" s="1225"/>
      <c r="S57" s="1225"/>
      <c r="T57" s="1225"/>
      <c r="U57" s="1299"/>
      <c r="V57" s="1238"/>
    </row>
    <row r="58" spans="1:22">
      <c r="A58" s="1230"/>
      <c r="B58" s="1256"/>
      <c r="C58" s="1257"/>
      <c r="D58" s="1257"/>
      <c r="E58" s="1257"/>
      <c r="F58" s="1257"/>
      <c r="G58" s="1257"/>
      <c r="H58" s="1257"/>
      <c r="I58" s="1258"/>
      <c r="J58" s="1285"/>
      <c r="K58" s="1285"/>
      <c r="L58" s="1301"/>
      <c r="M58" s="1263"/>
      <c r="N58" s="1206"/>
      <c r="O58" s="1207"/>
      <c r="P58" s="1226"/>
      <c r="Q58" s="1226"/>
      <c r="R58" s="1226"/>
      <c r="S58" s="1226"/>
      <c r="T58" s="1226"/>
      <c r="U58" s="1299"/>
      <c r="V58" s="1238"/>
    </row>
    <row r="59" spans="1:22">
      <c r="A59" s="1230"/>
      <c r="B59" s="1256"/>
      <c r="C59" s="1257"/>
      <c r="D59" s="1257"/>
      <c r="E59" s="1257"/>
      <c r="F59" s="1257"/>
      <c r="G59" s="1257"/>
      <c r="H59" s="1257"/>
      <c r="I59" s="1258"/>
      <c r="J59" s="1285"/>
      <c r="K59" s="1285"/>
      <c r="L59" s="1301"/>
      <c r="M59" s="1263"/>
      <c r="N59" s="1206"/>
      <c r="O59" s="1207"/>
      <c r="P59" s="1226"/>
      <c r="Q59" s="1226"/>
      <c r="R59" s="1226"/>
      <c r="S59" s="1226"/>
      <c r="T59" s="1226"/>
      <c r="U59" s="1299"/>
      <c r="V59" s="1238"/>
    </row>
    <row r="60" spans="1:22" ht="13.5" thickBot="1">
      <c r="A60" s="1231"/>
      <c r="B60" s="1259"/>
      <c r="C60" s="1260"/>
      <c r="D60" s="1260"/>
      <c r="E60" s="1260"/>
      <c r="F60" s="1260"/>
      <c r="G60" s="1260"/>
      <c r="H60" s="1260"/>
      <c r="I60" s="1261"/>
      <c r="J60" s="1287"/>
      <c r="K60" s="1287"/>
      <c r="L60" s="1302"/>
      <c r="M60" s="1264"/>
      <c r="N60" s="1212"/>
      <c r="O60" s="1265"/>
      <c r="P60" s="1222"/>
      <c r="Q60" s="1222"/>
      <c r="R60" s="1222"/>
      <c r="S60" s="1222"/>
      <c r="T60" s="1222"/>
      <c r="U60" s="1304"/>
      <c r="V60" s="1305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228">
        <v>4</v>
      </c>
      <c r="B62" s="1232" t="s">
        <v>106</v>
      </c>
      <c r="C62" s="1233"/>
      <c r="D62" s="1233">
        <v>854</v>
      </c>
      <c r="E62" s="1233"/>
      <c r="F62" s="1283" t="s">
        <v>166</v>
      </c>
      <c r="G62" s="1283"/>
      <c r="H62" s="1283"/>
      <c r="I62" s="1283"/>
      <c r="J62" s="1284">
        <v>2010</v>
      </c>
      <c r="K62" s="1284">
        <v>2012</v>
      </c>
      <c r="L62" s="1273">
        <f>SUM(N62,L68)</f>
        <v>851720</v>
      </c>
      <c r="M62" s="1252" t="s">
        <v>125</v>
      </c>
      <c r="N62" s="1213">
        <f>SUM(N66:N73)</f>
        <v>205558</v>
      </c>
      <c r="O62" s="1255" t="s">
        <v>117</v>
      </c>
      <c r="P62" s="1213">
        <f>SUM(P66:P73)</f>
        <v>205558</v>
      </c>
      <c r="Q62" s="1213">
        <f t="shared" ref="Q62:T62" si="3">SUM(Q66:Q73)</f>
        <v>0</v>
      </c>
      <c r="R62" s="1213">
        <f t="shared" si="3"/>
        <v>0</v>
      </c>
      <c r="S62" s="1213">
        <f t="shared" si="3"/>
        <v>0</v>
      </c>
      <c r="T62" s="1213">
        <f t="shared" si="3"/>
        <v>0</v>
      </c>
      <c r="U62" s="1216">
        <f>SUM(V66:V73)</f>
        <v>205558</v>
      </c>
      <c r="V62" s="1217"/>
    </row>
    <row r="63" spans="1:22">
      <c r="A63" s="1229"/>
      <c r="B63" s="1234"/>
      <c r="C63" s="1235"/>
      <c r="D63" s="1235"/>
      <c r="E63" s="1235"/>
      <c r="F63" s="1271"/>
      <c r="G63" s="1271"/>
      <c r="H63" s="1271"/>
      <c r="I63" s="1271"/>
      <c r="J63" s="1285"/>
      <c r="K63" s="1285"/>
      <c r="L63" s="1274"/>
      <c r="M63" s="1253"/>
      <c r="N63" s="1214"/>
      <c r="O63" s="1207"/>
      <c r="P63" s="1214"/>
      <c r="Q63" s="1214"/>
      <c r="R63" s="1214"/>
      <c r="S63" s="1214"/>
      <c r="T63" s="1214"/>
      <c r="U63" s="1218"/>
      <c r="V63" s="1219"/>
    </row>
    <row r="64" spans="1:22">
      <c r="A64" s="1229"/>
      <c r="B64" s="1268" t="s">
        <v>112</v>
      </c>
      <c r="C64" s="1207"/>
      <c r="D64" s="1207">
        <v>85495</v>
      </c>
      <c r="E64" s="1207"/>
      <c r="F64" s="1271" t="s">
        <v>139</v>
      </c>
      <c r="G64" s="1271"/>
      <c r="H64" s="1271"/>
      <c r="I64" s="1271"/>
      <c r="J64" s="1285"/>
      <c r="K64" s="1285"/>
      <c r="L64" s="1274"/>
      <c r="M64" s="1253"/>
      <c r="N64" s="1214"/>
      <c r="O64" s="1207"/>
      <c r="P64" s="1214"/>
      <c r="Q64" s="1214"/>
      <c r="R64" s="1214"/>
      <c r="S64" s="1214"/>
      <c r="T64" s="1214"/>
      <c r="U64" s="1218"/>
      <c r="V64" s="1219"/>
    </row>
    <row r="65" spans="1:22">
      <c r="A65" s="1229"/>
      <c r="B65" s="1269"/>
      <c r="C65" s="1270"/>
      <c r="D65" s="1270"/>
      <c r="E65" s="1270"/>
      <c r="F65" s="1272"/>
      <c r="G65" s="1272"/>
      <c r="H65" s="1272"/>
      <c r="I65" s="1272"/>
      <c r="J65" s="1285"/>
      <c r="K65" s="1285"/>
      <c r="L65" s="1274"/>
      <c r="M65" s="1253"/>
      <c r="N65" s="1214"/>
      <c r="O65" s="1207"/>
      <c r="P65" s="1214"/>
      <c r="Q65" s="1214"/>
      <c r="R65" s="1214"/>
      <c r="S65" s="1214"/>
      <c r="T65" s="1214"/>
      <c r="U65" s="1220"/>
      <c r="V65" s="1221"/>
    </row>
    <row r="66" spans="1:22" ht="13.5" thickBot="1">
      <c r="A66" s="1230"/>
      <c r="B66" s="1230" t="s">
        <v>167</v>
      </c>
      <c r="C66" s="1275"/>
      <c r="D66" s="1275"/>
      <c r="E66" s="1275"/>
      <c r="F66" s="1275"/>
      <c r="G66" s="1275"/>
      <c r="H66" s="1275"/>
      <c r="I66" s="1276"/>
      <c r="J66" s="1286"/>
      <c r="K66" s="1285"/>
      <c r="L66" s="1274"/>
      <c r="M66" s="1205" t="s">
        <v>152</v>
      </c>
      <c r="N66" s="1206">
        <f>SUM(P66:T69)</f>
        <v>177385</v>
      </c>
      <c r="O66" s="1207" t="s">
        <v>117</v>
      </c>
      <c r="P66" s="1206">
        <v>177385</v>
      </c>
      <c r="Q66" s="1206"/>
      <c r="R66" s="1206"/>
      <c r="S66" s="1206"/>
      <c r="T66" s="1222"/>
      <c r="U66" s="1203" t="s">
        <v>153</v>
      </c>
      <c r="V66" s="1237">
        <f>P62</f>
        <v>205558</v>
      </c>
    </row>
    <row r="67" spans="1:22" ht="14.25" thickTop="1" thickBot="1">
      <c r="A67" s="1230"/>
      <c r="B67" s="1277"/>
      <c r="C67" s="1278"/>
      <c r="D67" s="1278"/>
      <c r="E67" s="1278"/>
      <c r="F67" s="1278"/>
      <c r="G67" s="1278"/>
      <c r="H67" s="1278"/>
      <c r="I67" s="1279"/>
      <c r="J67" s="1286"/>
      <c r="K67" s="1285"/>
      <c r="L67" s="1274"/>
      <c r="M67" s="1205"/>
      <c r="N67" s="1207"/>
      <c r="O67" s="1207"/>
      <c r="P67" s="1206"/>
      <c r="Q67" s="1206"/>
      <c r="R67" s="1206"/>
      <c r="S67" s="1206"/>
      <c r="T67" s="1223"/>
      <c r="U67" s="1204"/>
      <c r="V67" s="1238"/>
    </row>
    <row r="68" spans="1:22" ht="14.25" thickTop="1" thickBot="1">
      <c r="A68" s="1230"/>
      <c r="B68" s="1277"/>
      <c r="C68" s="1278"/>
      <c r="D68" s="1278"/>
      <c r="E68" s="1278"/>
      <c r="F68" s="1278"/>
      <c r="G68" s="1278"/>
      <c r="H68" s="1278"/>
      <c r="I68" s="1279"/>
      <c r="J68" s="1286"/>
      <c r="K68" s="1285"/>
      <c r="L68" s="1288">
        <v>646162</v>
      </c>
      <c r="M68" s="1205"/>
      <c r="N68" s="1207"/>
      <c r="O68" s="1207"/>
      <c r="P68" s="1206"/>
      <c r="Q68" s="1206"/>
      <c r="R68" s="1206"/>
      <c r="S68" s="1206"/>
      <c r="T68" s="1223"/>
      <c r="U68" s="1204" t="s">
        <v>154</v>
      </c>
      <c r="V68" s="1238">
        <f>Q62</f>
        <v>0</v>
      </c>
    </row>
    <row r="69" spans="1:22" ht="13.5" thickTop="1">
      <c r="A69" s="1230"/>
      <c r="B69" s="1280"/>
      <c r="C69" s="1281"/>
      <c r="D69" s="1281"/>
      <c r="E69" s="1281"/>
      <c r="F69" s="1281"/>
      <c r="G69" s="1281"/>
      <c r="H69" s="1281"/>
      <c r="I69" s="1282"/>
      <c r="J69" s="1286"/>
      <c r="K69" s="1285"/>
      <c r="L69" s="1288"/>
      <c r="M69" s="1205"/>
      <c r="N69" s="1207"/>
      <c r="O69" s="1207"/>
      <c r="P69" s="1206"/>
      <c r="Q69" s="1206"/>
      <c r="R69" s="1206"/>
      <c r="S69" s="1206"/>
      <c r="T69" s="1290"/>
      <c r="U69" s="1204"/>
      <c r="V69" s="1238"/>
    </row>
    <row r="70" spans="1:22" ht="13.5" thickBot="1">
      <c r="A70" s="1230"/>
      <c r="B70" s="1256" t="s">
        <v>168</v>
      </c>
      <c r="C70" s="1257"/>
      <c r="D70" s="1257"/>
      <c r="E70" s="1257"/>
      <c r="F70" s="1257"/>
      <c r="G70" s="1257"/>
      <c r="H70" s="1257"/>
      <c r="I70" s="1258"/>
      <c r="J70" s="1285"/>
      <c r="K70" s="1285"/>
      <c r="L70" s="1288"/>
      <c r="M70" s="1262" t="s">
        <v>158</v>
      </c>
      <c r="N70" s="1206">
        <f>SUM(P70:T73)</f>
        <v>28173</v>
      </c>
      <c r="O70" s="1207" t="s">
        <v>117</v>
      </c>
      <c r="P70" s="1206">
        <v>28173</v>
      </c>
      <c r="Q70" s="1206"/>
      <c r="R70" s="1206"/>
      <c r="S70" s="1206"/>
      <c r="T70" s="1222"/>
      <c r="U70" s="1204"/>
      <c r="V70" s="1199">
        <f>R62</f>
        <v>0</v>
      </c>
    </row>
    <row r="71" spans="1:22" ht="14.25" thickTop="1" thickBot="1">
      <c r="A71" s="1230"/>
      <c r="B71" s="1256"/>
      <c r="C71" s="1257"/>
      <c r="D71" s="1257"/>
      <c r="E71" s="1257"/>
      <c r="F71" s="1257"/>
      <c r="G71" s="1257"/>
      <c r="H71" s="1257"/>
      <c r="I71" s="1258"/>
      <c r="J71" s="1285"/>
      <c r="K71" s="1285"/>
      <c r="L71" s="1288"/>
      <c r="M71" s="1263"/>
      <c r="N71" s="1207"/>
      <c r="O71" s="1207"/>
      <c r="P71" s="1206"/>
      <c r="Q71" s="1206"/>
      <c r="R71" s="1206"/>
      <c r="S71" s="1206"/>
      <c r="T71" s="1223"/>
      <c r="U71" s="1204"/>
      <c r="V71" s="1199"/>
    </row>
    <row r="72" spans="1:22" ht="14.25" thickTop="1" thickBot="1">
      <c r="A72" s="1230"/>
      <c r="B72" s="1256"/>
      <c r="C72" s="1257"/>
      <c r="D72" s="1257"/>
      <c r="E72" s="1257"/>
      <c r="F72" s="1257"/>
      <c r="G72" s="1257"/>
      <c r="H72" s="1257"/>
      <c r="I72" s="1258"/>
      <c r="J72" s="1285"/>
      <c r="K72" s="1285"/>
      <c r="L72" s="1288"/>
      <c r="M72" s="1263"/>
      <c r="N72" s="1207"/>
      <c r="O72" s="1207"/>
      <c r="P72" s="1206"/>
      <c r="Q72" s="1206"/>
      <c r="R72" s="1206"/>
      <c r="S72" s="1206"/>
      <c r="T72" s="1223"/>
      <c r="U72" s="1200"/>
      <c r="V72" s="1199">
        <f>S62</f>
        <v>0</v>
      </c>
    </row>
    <row r="73" spans="1:22" ht="14.25" thickTop="1" thickBot="1">
      <c r="A73" s="1231"/>
      <c r="B73" s="1259"/>
      <c r="C73" s="1260"/>
      <c r="D73" s="1260"/>
      <c r="E73" s="1260"/>
      <c r="F73" s="1260"/>
      <c r="G73" s="1260"/>
      <c r="H73" s="1260"/>
      <c r="I73" s="1261"/>
      <c r="J73" s="1287"/>
      <c r="K73" s="1287"/>
      <c r="L73" s="1289"/>
      <c r="M73" s="1264"/>
      <c r="N73" s="1265"/>
      <c r="O73" s="1265"/>
      <c r="P73" s="1212"/>
      <c r="Q73" s="1212"/>
      <c r="R73" s="1212"/>
      <c r="S73" s="1212"/>
      <c r="T73" s="1223"/>
      <c r="U73" s="1201"/>
      <c r="V73" s="1202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228">
        <v>5</v>
      </c>
      <c r="B75" s="1232" t="s">
        <v>106</v>
      </c>
      <c r="C75" s="1233"/>
      <c r="D75" s="1233">
        <v>801</v>
      </c>
      <c r="E75" s="1233"/>
      <c r="F75" s="1283" t="s">
        <v>150</v>
      </c>
      <c r="G75" s="1283"/>
      <c r="H75" s="1283"/>
      <c r="I75" s="1283"/>
      <c r="J75" s="1284">
        <v>2011</v>
      </c>
      <c r="K75" s="1284">
        <v>2013</v>
      </c>
      <c r="L75" s="1273">
        <f>SUM(N75,L81)</f>
        <v>388500</v>
      </c>
      <c r="M75" s="1252" t="s">
        <v>125</v>
      </c>
      <c r="N75" s="1213">
        <f>SUM(N79:N86)</f>
        <v>388500</v>
      </c>
      <c r="O75" s="1255" t="s">
        <v>117</v>
      </c>
      <c r="P75" s="1213">
        <f>SUM(P79:P86)</f>
        <v>233100</v>
      </c>
      <c r="Q75" s="1213">
        <f t="shared" ref="Q75:T75" si="4">SUM(Q79:Q86)</f>
        <v>155400</v>
      </c>
      <c r="R75" s="1213">
        <f t="shared" si="4"/>
        <v>0</v>
      </c>
      <c r="S75" s="1213">
        <f t="shared" si="4"/>
        <v>0</v>
      </c>
      <c r="T75" s="1213">
        <f t="shared" si="4"/>
        <v>0</v>
      </c>
      <c r="U75" s="1216">
        <f>SUM(V79:V86)</f>
        <v>388500</v>
      </c>
      <c r="V75" s="1217"/>
    </row>
    <row r="76" spans="1:22">
      <c r="A76" s="1229"/>
      <c r="B76" s="1234"/>
      <c r="C76" s="1235"/>
      <c r="D76" s="1235"/>
      <c r="E76" s="1235"/>
      <c r="F76" s="1271"/>
      <c r="G76" s="1271"/>
      <c r="H76" s="1271"/>
      <c r="I76" s="1271"/>
      <c r="J76" s="1285"/>
      <c r="K76" s="1285"/>
      <c r="L76" s="1274"/>
      <c r="M76" s="1253"/>
      <c r="N76" s="1214"/>
      <c r="O76" s="1207"/>
      <c r="P76" s="1214"/>
      <c r="Q76" s="1214"/>
      <c r="R76" s="1214"/>
      <c r="S76" s="1214"/>
      <c r="T76" s="1214"/>
      <c r="U76" s="1218"/>
      <c r="V76" s="1219"/>
    </row>
    <row r="77" spans="1:22">
      <c r="A77" s="1229"/>
      <c r="B77" s="1268" t="s">
        <v>112</v>
      </c>
      <c r="C77" s="1207"/>
      <c r="D77" s="1207">
        <v>80195</v>
      </c>
      <c r="E77" s="1207"/>
      <c r="F77" s="1271" t="s">
        <v>139</v>
      </c>
      <c r="G77" s="1271"/>
      <c r="H77" s="1271"/>
      <c r="I77" s="1271"/>
      <c r="J77" s="1285"/>
      <c r="K77" s="1285"/>
      <c r="L77" s="1274"/>
      <c r="M77" s="1253"/>
      <c r="N77" s="1214"/>
      <c r="O77" s="1207"/>
      <c r="P77" s="1214"/>
      <c r="Q77" s="1214"/>
      <c r="R77" s="1214"/>
      <c r="S77" s="1214"/>
      <c r="T77" s="1214"/>
      <c r="U77" s="1218"/>
      <c r="V77" s="1219"/>
    </row>
    <row r="78" spans="1:22">
      <c r="A78" s="1229"/>
      <c r="B78" s="1269"/>
      <c r="C78" s="1270"/>
      <c r="D78" s="1270"/>
      <c r="E78" s="1270"/>
      <c r="F78" s="1272"/>
      <c r="G78" s="1272"/>
      <c r="H78" s="1272"/>
      <c r="I78" s="1272"/>
      <c r="J78" s="1285"/>
      <c r="K78" s="1285"/>
      <c r="L78" s="1274"/>
      <c r="M78" s="1253"/>
      <c r="N78" s="1214"/>
      <c r="O78" s="1207"/>
      <c r="P78" s="1214"/>
      <c r="Q78" s="1214"/>
      <c r="R78" s="1214"/>
      <c r="S78" s="1214"/>
      <c r="T78" s="1214"/>
      <c r="U78" s="1220"/>
      <c r="V78" s="1221"/>
    </row>
    <row r="79" spans="1:22" ht="13.5" thickBot="1">
      <c r="A79" s="1230"/>
      <c r="B79" s="1230" t="s">
        <v>169</v>
      </c>
      <c r="C79" s="1275"/>
      <c r="D79" s="1275"/>
      <c r="E79" s="1275"/>
      <c r="F79" s="1275"/>
      <c r="G79" s="1275"/>
      <c r="H79" s="1275"/>
      <c r="I79" s="1276"/>
      <c r="J79" s="1286"/>
      <c r="K79" s="1285"/>
      <c r="L79" s="1274"/>
      <c r="M79" s="1205" t="s">
        <v>152</v>
      </c>
      <c r="N79" s="1206">
        <f>SUM(P79:T82)</f>
        <v>330225</v>
      </c>
      <c r="O79" s="1207" t="s">
        <v>117</v>
      </c>
      <c r="P79" s="1225">
        <v>198135</v>
      </c>
      <c r="Q79" s="1225">
        <v>132090</v>
      </c>
      <c r="R79" s="1206"/>
      <c r="S79" s="1206"/>
      <c r="T79" s="1222"/>
      <c r="U79" s="1203" t="s">
        <v>153</v>
      </c>
      <c r="V79" s="1237">
        <f>P75</f>
        <v>233100</v>
      </c>
    </row>
    <row r="80" spans="1:22" ht="14.25" thickTop="1" thickBot="1">
      <c r="A80" s="1230"/>
      <c r="B80" s="1277"/>
      <c r="C80" s="1278"/>
      <c r="D80" s="1278"/>
      <c r="E80" s="1278"/>
      <c r="F80" s="1278"/>
      <c r="G80" s="1278"/>
      <c r="H80" s="1278"/>
      <c r="I80" s="1279"/>
      <c r="J80" s="1286"/>
      <c r="K80" s="1285"/>
      <c r="L80" s="1274"/>
      <c r="M80" s="1205"/>
      <c r="N80" s="1207"/>
      <c r="O80" s="1207"/>
      <c r="P80" s="1226"/>
      <c r="Q80" s="1226"/>
      <c r="R80" s="1206"/>
      <c r="S80" s="1206"/>
      <c r="T80" s="1223"/>
      <c r="U80" s="1204"/>
      <c r="V80" s="1238"/>
    </row>
    <row r="81" spans="1:22" ht="14.25" thickTop="1" thickBot="1">
      <c r="A81" s="1230"/>
      <c r="B81" s="1277"/>
      <c r="C81" s="1278"/>
      <c r="D81" s="1278"/>
      <c r="E81" s="1278"/>
      <c r="F81" s="1278"/>
      <c r="G81" s="1278"/>
      <c r="H81" s="1278"/>
      <c r="I81" s="1279"/>
      <c r="J81" s="1286"/>
      <c r="K81" s="1285"/>
      <c r="L81" s="1288">
        <v>0</v>
      </c>
      <c r="M81" s="1205"/>
      <c r="N81" s="1207"/>
      <c r="O81" s="1207"/>
      <c r="P81" s="1226"/>
      <c r="Q81" s="1226"/>
      <c r="R81" s="1206"/>
      <c r="S81" s="1206"/>
      <c r="T81" s="1223"/>
      <c r="U81" s="1204" t="s">
        <v>154</v>
      </c>
      <c r="V81" s="1238">
        <f>Q75</f>
        <v>155400</v>
      </c>
    </row>
    <row r="82" spans="1:22" ht="13.5" thickTop="1">
      <c r="A82" s="1230"/>
      <c r="B82" s="1280"/>
      <c r="C82" s="1281"/>
      <c r="D82" s="1281"/>
      <c r="E82" s="1281"/>
      <c r="F82" s="1281"/>
      <c r="G82" s="1281"/>
      <c r="H82" s="1281"/>
      <c r="I82" s="1282"/>
      <c r="J82" s="1286"/>
      <c r="K82" s="1285"/>
      <c r="L82" s="1288"/>
      <c r="M82" s="1205"/>
      <c r="N82" s="1207"/>
      <c r="O82" s="1207"/>
      <c r="P82" s="1227"/>
      <c r="Q82" s="1227"/>
      <c r="R82" s="1206"/>
      <c r="S82" s="1206"/>
      <c r="T82" s="1290"/>
      <c r="U82" s="1204"/>
      <c r="V82" s="1238"/>
    </row>
    <row r="83" spans="1:22" ht="13.5" thickBot="1">
      <c r="A83" s="1230"/>
      <c r="B83" s="1256" t="s">
        <v>170</v>
      </c>
      <c r="C83" s="1257"/>
      <c r="D83" s="1257"/>
      <c r="E83" s="1257"/>
      <c r="F83" s="1257"/>
      <c r="G83" s="1257"/>
      <c r="H83" s="1257"/>
      <c r="I83" s="1258"/>
      <c r="J83" s="1285"/>
      <c r="K83" s="1285"/>
      <c r="L83" s="1288"/>
      <c r="M83" s="1262" t="s">
        <v>171</v>
      </c>
      <c r="N83" s="1206">
        <f>SUM(P83:T86)</f>
        <v>58275</v>
      </c>
      <c r="O83" s="1207" t="s">
        <v>117</v>
      </c>
      <c r="P83" s="1225">
        <v>34965</v>
      </c>
      <c r="Q83" s="1225">
        <v>23310</v>
      </c>
      <c r="R83" s="1206"/>
      <c r="S83" s="1206"/>
      <c r="T83" s="1222"/>
      <c r="U83" s="1204"/>
      <c r="V83" s="1199"/>
    </row>
    <row r="84" spans="1:22" ht="14.25" thickTop="1" thickBot="1">
      <c r="A84" s="1230"/>
      <c r="B84" s="1256"/>
      <c r="C84" s="1257"/>
      <c r="D84" s="1257"/>
      <c r="E84" s="1257"/>
      <c r="F84" s="1257"/>
      <c r="G84" s="1257"/>
      <c r="H84" s="1257"/>
      <c r="I84" s="1258"/>
      <c r="J84" s="1285"/>
      <c r="K84" s="1285"/>
      <c r="L84" s="1288"/>
      <c r="M84" s="1263"/>
      <c r="N84" s="1207"/>
      <c r="O84" s="1207"/>
      <c r="P84" s="1226"/>
      <c r="Q84" s="1226"/>
      <c r="R84" s="1206"/>
      <c r="S84" s="1206"/>
      <c r="T84" s="1223"/>
      <c r="U84" s="1204"/>
      <c r="V84" s="1199"/>
    </row>
    <row r="85" spans="1:22" ht="14.25" thickTop="1" thickBot="1">
      <c r="A85" s="1230"/>
      <c r="B85" s="1256"/>
      <c r="C85" s="1257"/>
      <c r="D85" s="1257"/>
      <c r="E85" s="1257"/>
      <c r="F85" s="1257"/>
      <c r="G85" s="1257"/>
      <c r="H85" s="1257"/>
      <c r="I85" s="1258"/>
      <c r="J85" s="1285"/>
      <c r="K85" s="1285"/>
      <c r="L85" s="1288"/>
      <c r="M85" s="1263"/>
      <c r="N85" s="1207"/>
      <c r="O85" s="1207"/>
      <c r="P85" s="1226"/>
      <c r="Q85" s="1226"/>
      <c r="R85" s="1206"/>
      <c r="S85" s="1206"/>
      <c r="T85" s="1223"/>
      <c r="U85" s="1200"/>
      <c r="V85" s="1199"/>
    </row>
    <row r="86" spans="1:22" ht="14.25" thickTop="1" thickBot="1">
      <c r="A86" s="1231"/>
      <c r="B86" s="1259"/>
      <c r="C86" s="1260"/>
      <c r="D86" s="1260"/>
      <c r="E86" s="1260"/>
      <c r="F86" s="1260"/>
      <c r="G86" s="1260"/>
      <c r="H86" s="1260"/>
      <c r="I86" s="1261"/>
      <c r="J86" s="1287"/>
      <c r="K86" s="1287"/>
      <c r="L86" s="1289"/>
      <c r="M86" s="1264"/>
      <c r="N86" s="1265"/>
      <c r="O86" s="1265"/>
      <c r="P86" s="1222"/>
      <c r="Q86" s="1222"/>
      <c r="R86" s="1212"/>
      <c r="S86" s="1212"/>
      <c r="T86" s="1223"/>
      <c r="U86" s="1201"/>
      <c r="V86" s="1202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228">
        <v>6</v>
      </c>
      <c r="B88" s="1232" t="s">
        <v>106</v>
      </c>
      <c r="C88" s="1233"/>
      <c r="D88" s="1233">
        <v>801</v>
      </c>
      <c r="E88" s="1233"/>
      <c r="F88" s="1283" t="s">
        <v>150</v>
      </c>
      <c r="G88" s="1283"/>
      <c r="H88" s="1283"/>
      <c r="I88" s="1283"/>
      <c r="J88" s="1284">
        <v>2012</v>
      </c>
      <c r="K88" s="1284">
        <v>2013</v>
      </c>
      <c r="L88" s="1273">
        <f>SUM(N88,L94)</f>
        <v>679596</v>
      </c>
      <c r="M88" s="1252" t="s">
        <v>125</v>
      </c>
      <c r="N88" s="1213">
        <f>SUM(N92:N99)</f>
        <v>679596</v>
      </c>
      <c r="O88" s="1255" t="s">
        <v>117</v>
      </c>
      <c r="P88" s="1213">
        <f>SUM(P92:P99)</f>
        <v>453064</v>
      </c>
      <c r="Q88" s="1213">
        <f t="shared" ref="Q88:T88" si="5">SUM(Q92:Q99)</f>
        <v>226532</v>
      </c>
      <c r="R88" s="1213">
        <f t="shared" si="5"/>
        <v>0</v>
      </c>
      <c r="S88" s="1213">
        <f t="shared" si="5"/>
        <v>0</v>
      </c>
      <c r="T88" s="1213">
        <f t="shared" si="5"/>
        <v>0</v>
      </c>
      <c r="U88" s="1216">
        <f>SUM(V92:V99)</f>
        <v>679596</v>
      </c>
      <c r="V88" s="1217"/>
    </row>
    <row r="89" spans="1:22">
      <c r="A89" s="1229"/>
      <c r="B89" s="1234"/>
      <c r="C89" s="1235"/>
      <c r="D89" s="1235"/>
      <c r="E89" s="1235"/>
      <c r="F89" s="1271"/>
      <c r="G89" s="1271"/>
      <c r="H89" s="1271"/>
      <c r="I89" s="1271"/>
      <c r="J89" s="1285"/>
      <c r="K89" s="1285"/>
      <c r="L89" s="1274"/>
      <c r="M89" s="1253"/>
      <c r="N89" s="1214"/>
      <c r="O89" s="1207"/>
      <c r="P89" s="1214"/>
      <c r="Q89" s="1214"/>
      <c r="R89" s="1214"/>
      <c r="S89" s="1214"/>
      <c r="T89" s="1214"/>
      <c r="U89" s="1218"/>
      <c r="V89" s="1219"/>
    </row>
    <row r="90" spans="1:22">
      <c r="A90" s="1229"/>
      <c r="B90" s="1268" t="s">
        <v>112</v>
      </c>
      <c r="C90" s="1207"/>
      <c r="D90" s="1207">
        <v>80195</v>
      </c>
      <c r="E90" s="1207"/>
      <c r="F90" s="1271" t="s">
        <v>139</v>
      </c>
      <c r="G90" s="1271"/>
      <c r="H90" s="1271"/>
      <c r="I90" s="1271"/>
      <c r="J90" s="1285"/>
      <c r="K90" s="1285"/>
      <c r="L90" s="1274"/>
      <c r="M90" s="1253"/>
      <c r="N90" s="1214"/>
      <c r="O90" s="1207"/>
      <c r="P90" s="1214"/>
      <c r="Q90" s="1214"/>
      <c r="R90" s="1214"/>
      <c r="S90" s="1214"/>
      <c r="T90" s="1214"/>
      <c r="U90" s="1218"/>
      <c r="V90" s="1219"/>
    </row>
    <row r="91" spans="1:22">
      <c r="A91" s="1229"/>
      <c r="B91" s="1269"/>
      <c r="C91" s="1270"/>
      <c r="D91" s="1270"/>
      <c r="E91" s="1270"/>
      <c r="F91" s="1272"/>
      <c r="G91" s="1272"/>
      <c r="H91" s="1272"/>
      <c r="I91" s="1272"/>
      <c r="J91" s="1285"/>
      <c r="K91" s="1285"/>
      <c r="L91" s="1274"/>
      <c r="M91" s="1253"/>
      <c r="N91" s="1214"/>
      <c r="O91" s="1207"/>
      <c r="P91" s="1214"/>
      <c r="Q91" s="1214"/>
      <c r="R91" s="1214"/>
      <c r="S91" s="1214"/>
      <c r="T91" s="1214"/>
      <c r="U91" s="1220"/>
      <c r="V91" s="1221"/>
    </row>
    <row r="92" spans="1:22" ht="13.5" thickBot="1">
      <c r="A92" s="1230"/>
      <c r="B92" s="1230" t="s">
        <v>172</v>
      </c>
      <c r="C92" s="1275"/>
      <c r="D92" s="1275"/>
      <c r="E92" s="1275"/>
      <c r="F92" s="1275"/>
      <c r="G92" s="1275"/>
      <c r="H92" s="1275"/>
      <c r="I92" s="1276"/>
      <c r="J92" s="1286"/>
      <c r="K92" s="1285"/>
      <c r="L92" s="1274"/>
      <c r="M92" s="1205" t="s">
        <v>152</v>
      </c>
      <c r="N92" s="1206">
        <f>SUM(P92:T95)</f>
        <v>584520</v>
      </c>
      <c r="O92" s="1207" t="s">
        <v>117</v>
      </c>
      <c r="P92" s="1225">
        <v>389680</v>
      </c>
      <c r="Q92" s="1225">
        <v>194840</v>
      </c>
      <c r="R92" s="1206"/>
      <c r="S92" s="1206"/>
      <c r="T92" s="1222"/>
      <c r="U92" s="1203" t="s">
        <v>153</v>
      </c>
      <c r="V92" s="1237">
        <f>P88</f>
        <v>453064</v>
      </c>
    </row>
    <row r="93" spans="1:22" ht="14.25" thickTop="1" thickBot="1">
      <c r="A93" s="1230"/>
      <c r="B93" s="1277"/>
      <c r="C93" s="1278"/>
      <c r="D93" s="1278"/>
      <c r="E93" s="1278"/>
      <c r="F93" s="1278"/>
      <c r="G93" s="1278"/>
      <c r="H93" s="1278"/>
      <c r="I93" s="1279"/>
      <c r="J93" s="1286"/>
      <c r="K93" s="1285"/>
      <c r="L93" s="1274"/>
      <c r="M93" s="1205"/>
      <c r="N93" s="1207"/>
      <c r="O93" s="1207"/>
      <c r="P93" s="1226"/>
      <c r="Q93" s="1226"/>
      <c r="R93" s="1206"/>
      <c r="S93" s="1206"/>
      <c r="T93" s="1223"/>
      <c r="U93" s="1204"/>
      <c r="V93" s="1238"/>
    </row>
    <row r="94" spans="1:22" ht="14.25" thickTop="1" thickBot="1">
      <c r="A94" s="1230"/>
      <c r="B94" s="1277"/>
      <c r="C94" s="1278"/>
      <c r="D94" s="1278"/>
      <c r="E94" s="1278"/>
      <c r="F94" s="1278"/>
      <c r="G94" s="1278"/>
      <c r="H94" s="1278"/>
      <c r="I94" s="1279"/>
      <c r="J94" s="1286"/>
      <c r="K94" s="1285"/>
      <c r="L94" s="1288">
        <v>0</v>
      </c>
      <c r="M94" s="1205"/>
      <c r="N94" s="1207"/>
      <c r="O94" s="1207"/>
      <c r="P94" s="1226"/>
      <c r="Q94" s="1226"/>
      <c r="R94" s="1206"/>
      <c r="S94" s="1206"/>
      <c r="T94" s="1223"/>
      <c r="U94" s="1204" t="s">
        <v>154</v>
      </c>
      <c r="V94" s="1238">
        <f>Q88</f>
        <v>226532</v>
      </c>
    </row>
    <row r="95" spans="1:22" ht="13.5" thickTop="1">
      <c r="A95" s="1230"/>
      <c r="B95" s="1280"/>
      <c r="C95" s="1281"/>
      <c r="D95" s="1281"/>
      <c r="E95" s="1281"/>
      <c r="F95" s="1281"/>
      <c r="G95" s="1281"/>
      <c r="H95" s="1281"/>
      <c r="I95" s="1282"/>
      <c r="J95" s="1286"/>
      <c r="K95" s="1285"/>
      <c r="L95" s="1288"/>
      <c r="M95" s="1205"/>
      <c r="N95" s="1207"/>
      <c r="O95" s="1207"/>
      <c r="P95" s="1227"/>
      <c r="Q95" s="1227"/>
      <c r="R95" s="1206"/>
      <c r="S95" s="1206"/>
      <c r="T95" s="1290"/>
      <c r="U95" s="1204"/>
      <c r="V95" s="1238"/>
    </row>
    <row r="96" spans="1:22" ht="13.5" thickBot="1">
      <c r="A96" s="1230"/>
      <c r="B96" s="1256" t="s">
        <v>173</v>
      </c>
      <c r="C96" s="1257"/>
      <c r="D96" s="1257"/>
      <c r="E96" s="1257"/>
      <c r="F96" s="1257"/>
      <c r="G96" s="1257"/>
      <c r="H96" s="1257"/>
      <c r="I96" s="1258"/>
      <c r="J96" s="1285"/>
      <c r="K96" s="1285"/>
      <c r="L96" s="1288"/>
      <c r="M96" s="1262" t="s">
        <v>171</v>
      </c>
      <c r="N96" s="1206">
        <f>SUM(P96:T99)</f>
        <v>95076</v>
      </c>
      <c r="O96" s="1207" t="s">
        <v>117</v>
      </c>
      <c r="P96" s="1206">
        <v>63384</v>
      </c>
      <c r="Q96" s="1206">
        <v>31692</v>
      </c>
      <c r="R96" s="1206"/>
      <c r="S96" s="1206"/>
      <c r="T96" s="1222"/>
      <c r="U96" s="1204"/>
      <c r="V96" s="1199"/>
    </row>
    <row r="97" spans="1:22" ht="14.25" thickTop="1" thickBot="1">
      <c r="A97" s="1230"/>
      <c r="B97" s="1256"/>
      <c r="C97" s="1257"/>
      <c r="D97" s="1257"/>
      <c r="E97" s="1257"/>
      <c r="F97" s="1257"/>
      <c r="G97" s="1257"/>
      <c r="H97" s="1257"/>
      <c r="I97" s="1258"/>
      <c r="J97" s="1285"/>
      <c r="K97" s="1285"/>
      <c r="L97" s="1288"/>
      <c r="M97" s="1263"/>
      <c r="N97" s="1207"/>
      <c r="O97" s="1207"/>
      <c r="P97" s="1206"/>
      <c r="Q97" s="1206"/>
      <c r="R97" s="1206"/>
      <c r="S97" s="1206"/>
      <c r="T97" s="1223"/>
      <c r="U97" s="1204"/>
      <c r="V97" s="1199"/>
    </row>
    <row r="98" spans="1:22" ht="14.25" thickTop="1" thickBot="1">
      <c r="A98" s="1230"/>
      <c r="B98" s="1256"/>
      <c r="C98" s="1257"/>
      <c r="D98" s="1257"/>
      <c r="E98" s="1257"/>
      <c r="F98" s="1257"/>
      <c r="G98" s="1257"/>
      <c r="H98" s="1257"/>
      <c r="I98" s="1258"/>
      <c r="J98" s="1285"/>
      <c r="K98" s="1285"/>
      <c r="L98" s="1288"/>
      <c r="M98" s="1263"/>
      <c r="N98" s="1207"/>
      <c r="O98" s="1207"/>
      <c r="P98" s="1206"/>
      <c r="Q98" s="1206"/>
      <c r="R98" s="1206"/>
      <c r="S98" s="1206"/>
      <c r="T98" s="1223"/>
      <c r="U98" s="1200"/>
      <c r="V98" s="1199"/>
    </row>
    <row r="99" spans="1:22" ht="14.25" thickTop="1" thickBot="1">
      <c r="A99" s="1231"/>
      <c r="B99" s="1259"/>
      <c r="C99" s="1260"/>
      <c r="D99" s="1260"/>
      <c r="E99" s="1260"/>
      <c r="F99" s="1260"/>
      <c r="G99" s="1260"/>
      <c r="H99" s="1260"/>
      <c r="I99" s="1261"/>
      <c r="J99" s="1287"/>
      <c r="K99" s="1287"/>
      <c r="L99" s="1289"/>
      <c r="M99" s="1264"/>
      <c r="N99" s="1265"/>
      <c r="O99" s="1265"/>
      <c r="P99" s="1212"/>
      <c r="Q99" s="1212"/>
      <c r="R99" s="1212"/>
      <c r="S99" s="1212"/>
      <c r="T99" s="1223"/>
      <c r="U99" s="1201"/>
      <c r="V99" s="1202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228">
        <v>7</v>
      </c>
      <c r="B101" s="1232" t="s">
        <v>106</v>
      </c>
      <c r="C101" s="1233"/>
      <c r="D101" s="1291" t="s">
        <v>174</v>
      </c>
      <c r="E101" s="1292"/>
      <c r="F101" s="1292"/>
      <c r="G101" s="1292"/>
      <c r="H101" s="1292"/>
      <c r="I101" s="1293"/>
      <c r="J101" s="1284">
        <v>2012</v>
      </c>
      <c r="K101" s="1284">
        <v>2013</v>
      </c>
      <c r="L101" s="1273">
        <f>SUM(N101,L107)</f>
        <v>5243853</v>
      </c>
      <c r="M101" s="1252" t="s">
        <v>125</v>
      </c>
      <c r="N101" s="1213">
        <f>SUM(N105:N112)</f>
        <v>5243853</v>
      </c>
      <c r="O101" s="1255" t="s">
        <v>117</v>
      </c>
      <c r="P101" s="1213">
        <f>SUM(P105:P112)</f>
        <v>2518983</v>
      </c>
      <c r="Q101" s="1213">
        <f t="shared" ref="Q101:T101" si="6">SUM(Q105:Q112)</f>
        <v>2724870</v>
      </c>
      <c r="R101" s="1213">
        <f t="shared" si="6"/>
        <v>0</v>
      </c>
      <c r="S101" s="1213">
        <f t="shared" si="6"/>
        <v>0</v>
      </c>
      <c r="T101" s="1213">
        <f t="shared" si="6"/>
        <v>0</v>
      </c>
      <c r="U101" s="1216">
        <f>SUM(V105:V112)</f>
        <v>5243853</v>
      </c>
      <c r="V101" s="1217"/>
    </row>
    <row r="102" spans="1:22">
      <c r="A102" s="1229"/>
      <c r="B102" s="1234"/>
      <c r="C102" s="1235"/>
      <c r="D102" s="1294"/>
      <c r="E102" s="1295"/>
      <c r="F102" s="1295"/>
      <c r="G102" s="1295"/>
      <c r="H102" s="1295"/>
      <c r="I102" s="1286"/>
      <c r="J102" s="1285"/>
      <c r="K102" s="1285"/>
      <c r="L102" s="1274"/>
      <c r="M102" s="1253"/>
      <c r="N102" s="1214"/>
      <c r="O102" s="1207"/>
      <c r="P102" s="1214"/>
      <c r="Q102" s="1214"/>
      <c r="R102" s="1214"/>
      <c r="S102" s="1214"/>
      <c r="T102" s="1214"/>
      <c r="U102" s="1218"/>
      <c r="V102" s="1219"/>
    </row>
    <row r="103" spans="1:22">
      <c r="A103" s="1229"/>
      <c r="B103" s="1268" t="s">
        <v>112</v>
      </c>
      <c r="C103" s="1207"/>
      <c r="D103" s="1294"/>
      <c r="E103" s="1295"/>
      <c r="F103" s="1295"/>
      <c r="G103" s="1295"/>
      <c r="H103" s="1295"/>
      <c r="I103" s="1286"/>
      <c r="J103" s="1285"/>
      <c r="K103" s="1285"/>
      <c r="L103" s="1274"/>
      <c r="M103" s="1253"/>
      <c r="N103" s="1214"/>
      <c r="O103" s="1207"/>
      <c r="P103" s="1214"/>
      <c r="Q103" s="1214"/>
      <c r="R103" s="1214"/>
      <c r="S103" s="1214"/>
      <c r="T103" s="1214"/>
      <c r="U103" s="1218"/>
      <c r="V103" s="1219"/>
    </row>
    <row r="104" spans="1:22">
      <c r="A104" s="1229"/>
      <c r="B104" s="1269"/>
      <c r="C104" s="1270"/>
      <c r="D104" s="1296"/>
      <c r="E104" s="1297"/>
      <c r="F104" s="1297"/>
      <c r="G104" s="1297"/>
      <c r="H104" s="1297"/>
      <c r="I104" s="1298"/>
      <c r="J104" s="1285"/>
      <c r="K104" s="1285"/>
      <c r="L104" s="1274"/>
      <c r="M104" s="1253"/>
      <c r="N104" s="1214"/>
      <c r="O104" s="1207"/>
      <c r="P104" s="1214"/>
      <c r="Q104" s="1214"/>
      <c r="R104" s="1214"/>
      <c r="S104" s="1214"/>
      <c r="T104" s="1214"/>
      <c r="U104" s="1220"/>
      <c r="V104" s="1221"/>
    </row>
    <row r="105" spans="1:22" ht="13.5" thickBot="1">
      <c r="A105" s="1230"/>
      <c r="B105" s="1230" t="s">
        <v>175</v>
      </c>
      <c r="C105" s="1275"/>
      <c r="D105" s="1275"/>
      <c r="E105" s="1275"/>
      <c r="F105" s="1275"/>
      <c r="G105" s="1275"/>
      <c r="H105" s="1275"/>
      <c r="I105" s="1276"/>
      <c r="J105" s="1286"/>
      <c r="K105" s="1285"/>
      <c r="L105" s="1274"/>
      <c r="M105" s="1205" t="s">
        <v>152</v>
      </c>
      <c r="N105" s="1206">
        <f>SUM(P105:T108)</f>
        <v>0</v>
      </c>
      <c r="O105" s="1207" t="s">
        <v>117</v>
      </c>
      <c r="P105" s="1206"/>
      <c r="Q105" s="1206"/>
      <c r="R105" s="1206"/>
      <c r="S105" s="1206"/>
      <c r="T105" s="1222"/>
      <c r="U105" s="1239" t="s">
        <v>153</v>
      </c>
      <c r="V105" s="1237">
        <f>P101</f>
        <v>2518983</v>
      </c>
    </row>
    <row r="106" spans="1:22" ht="14.25" thickTop="1" thickBot="1">
      <c r="A106" s="1230"/>
      <c r="B106" s="1277"/>
      <c r="C106" s="1278"/>
      <c r="D106" s="1278"/>
      <c r="E106" s="1278"/>
      <c r="F106" s="1278"/>
      <c r="G106" s="1278"/>
      <c r="H106" s="1278"/>
      <c r="I106" s="1279"/>
      <c r="J106" s="1286"/>
      <c r="K106" s="1285"/>
      <c r="L106" s="1274"/>
      <c r="M106" s="1205"/>
      <c r="N106" s="1207"/>
      <c r="O106" s="1207"/>
      <c r="P106" s="1206"/>
      <c r="Q106" s="1206"/>
      <c r="R106" s="1206"/>
      <c r="S106" s="1206"/>
      <c r="T106" s="1223"/>
      <c r="U106" s="1224"/>
      <c r="V106" s="1238"/>
    </row>
    <row r="107" spans="1:22" ht="14.25" thickTop="1" thickBot="1">
      <c r="A107" s="1230"/>
      <c r="B107" s="1277"/>
      <c r="C107" s="1278"/>
      <c r="D107" s="1278"/>
      <c r="E107" s="1278"/>
      <c r="F107" s="1278"/>
      <c r="G107" s="1278"/>
      <c r="H107" s="1278"/>
      <c r="I107" s="1279"/>
      <c r="J107" s="1286"/>
      <c r="K107" s="1285"/>
      <c r="L107" s="1288">
        <v>0</v>
      </c>
      <c r="M107" s="1205"/>
      <c r="N107" s="1207"/>
      <c r="O107" s="1207"/>
      <c r="P107" s="1206"/>
      <c r="Q107" s="1206"/>
      <c r="R107" s="1206"/>
      <c r="S107" s="1206"/>
      <c r="T107" s="1223"/>
      <c r="U107" s="1224" t="s">
        <v>154</v>
      </c>
      <c r="V107" s="1238">
        <f>Q101</f>
        <v>2724870</v>
      </c>
    </row>
    <row r="108" spans="1:22" ht="13.5" thickTop="1">
      <c r="A108" s="1230"/>
      <c r="B108" s="1280"/>
      <c r="C108" s="1281"/>
      <c r="D108" s="1281"/>
      <c r="E108" s="1281"/>
      <c r="F108" s="1281"/>
      <c r="G108" s="1281"/>
      <c r="H108" s="1281"/>
      <c r="I108" s="1282"/>
      <c r="J108" s="1286"/>
      <c r="K108" s="1285"/>
      <c r="L108" s="1288"/>
      <c r="M108" s="1205"/>
      <c r="N108" s="1207"/>
      <c r="O108" s="1207"/>
      <c r="P108" s="1206"/>
      <c r="Q108" s="1206"/>
      <c r="R108" s="1206"/>
      <c r="S108" s="1206"/>
      <c r="T108" s="1290"/>
      <c r="U108" s="1224"/>
      <c r="V108" s="1238"/>
    </row>
    <row r="109" spans="1:22" ht="13.5" thickBot="1">
      <c r="A109" s="1230"/>
      <c r="B109" s="1256" t="s">
        <v>176</v>
      </c>
      <c r="C109" s="1257"/>
      <c r="D109" s="1257"/>
      <c r="E109" s="1257"/>
      <c r="F109" s="1257"/>
      <c r="G109" s="1257"/>
      <c r="H109" s="1257"/>
      <c r="I109" s="1258"/>
      <c r="J109" s="1285"/>
      <c r="K109" s="1285"/>
      <c r="L109" s="1288"/>
      <c r="M109" s="1262" t="s">
        <v>158</v>
      </c>
      <c r="N109" s="1206">
        <f>SUM(P109:T112)</f>
        <v>5243853</v>
      </c>
      <c r="O109" s="1207" t="s">
        <v>117</v>
      </c>
      <c r="P109" s="1206">
        <v>2518983</v>
      </c>
      <c r="Q109" s="1206">
        <v>2724870</v>
      </c>
      <c r="R109" s="1206"/>
      <c r="S109" s="1206"/>
      <c r="T109" s="1222"/>
      <c r="U109" s="1224"/>
      <c r="V109" s="1210"/>
    </row>
    <row r="110" spans="1:22" ht="14.25" thickTop="1" thickBot="1">
      <c r="A110" s="1230"/>
      <c r="B110" s="1256"/>
      <c r="C110" s="1257"/>
      <c r="D110" s="1257"/>
      <c r="E110" s="1257"/>
      <c r="F110" s="1257"/>
      <c r="G110" s="1257"/>
      <c r="H110" s="1257"/>
      <c r="I110" s="1258"/>
      <c r="J110" s="1285"/>
      <c r="K110" s="1285"/>
      <c r="L110" s="1288"/>
      <c r="M110" s="1263"/>
      <c r="N110" s="1207"/>
      <c r="O110" s="1207"/>
      <c r="P110" s="1206"/>
      <c r="Q110" s="1206"/>
      <c r="R110" s="1206"/>
      <c r="S110" s="1206"/>
      <c r="T110" s="1223"/>
      <c r="U110" s="1224"/>
      <c r="V110" s="1210"/>
    </row>
    <row r="111" spans="1:22" ht="14.25" thickTop="1" thickBot="1">
      <c r="A111" s="1230"/>
      <c r="B111" s="1256"/>
      <c r="C111" s="1257"/>
      <c r="D111" s="1257"/>
      <c r="E111" s="1257"/>
      <c r="F111" s="1257"/>
      <c r="G111" s="1257"/>
      <c r="H111" s="1257"/>
      <c r="I111" s="1258"/>
      <c r="J111" s="1285"/>
      <c r="K111" s="1285"/>
      <c r="L111" s="1288"/>
      <c r="M111" s="1263"/>
      <c r="N111" s="1207"/>
      <c r="O111" s="1207"/>
      <c r="P111" s="1206"/>
      <c r="Q111" s="1206"/>
      <c r="R111" s="1206"/>
      <c r="S111" s="1206"/>
      <c r="T111" s="1223"/>
      <c r="U111" s="1208"/>
      <c r="V111" s="1210"/>
    </row>
    <row r="112" spans="1:22" ht="14.25" thickTop="1" thickBot="1">
      <c r="A112" s="1231"/>
      <c r="B112" s="1259"/>
      <c r="C112" s="1260"/>
      <c r="D112" s="1260"/>
      <c r="E112" s="1260"/>
      <c r="F112" s="1260"/>
      <c r="G112" s="1260"/>
      <c r="H112" s="1260"/>
      <c r="I112" s="1261"/>
      <c r="J112" s="1287"/>
      <c r="K112" s="1287"/>
      <c r="L112" s="1289"/>
      <c r="M112" s="1264"/>
      <c r="N112" s="1265"/>
      <c r="O112" s="1265"/>
      <c r="P112" s="1212"/>
      <c r="Q112" s="1212"/>
      <c r="R112" s="1212"/>
      <c r="S112" s="1212"/>
      <c r="T112" s="1223"/>
      <c r="U112" s="1209"/>
      <c r="V112" s="1211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228">
        <v>8</v>
      </c>
      <c r="B114" s="1232" t="s">
        <v>106</v>
      </c>
      <c r="C114" s="1233"/>
      <c r="D114" s="1233">
        <v>750</v>
      </c>
      <c r="E114" s="1233"/>
      <c r="F114" s="1283"/>
      <c r="G114" s="1283"/>
      <c r="H114" s="1283"/>
      <c r="I114" s="1283"/>
      <c r="J114" s="1284">
        <v>2011</v>
      </c>
      <c r="K114" s="1284">
        <v>2013</v>
      </c>
      <c r="L114" s="1273">
        <f>SUM(N114,L120)</f>
        <v>593380</v>
      </c>
      <c r="M114" s="1252" t="s">
        <v>125</v>
      </c>
      <c r="N114" s="1213">
        <f>SUM(N118:N125)</f>
        <v>586000</v>
      </c>
      <c r="O114" s="1255" t="s">
        <v>117</v>
      </c>
      <c r="P114" s="1213">
        <f>SUM(P118:P125)</f>
        <v>288000</v>
      </c>
      <c r="Q114" s="1213">
        <f t="shared" ref="Q114:T114" si="7">SUM(Q118:Q125)</f>
        <v>298000</v>
      </c>
      <c r="R114" s="1213">
        <f t="shared" si="7"/>
        <v>0</v>
      </c>
      <c r="S114" s="1213">
        <f t="shared" si="7"/>
        <v>0</v>
      </c>
      <c r="T114" s="1213">
        <f t="shared" si="7"/>
        <v>0</v>
      </c>
      <c r="U114" s="1216">
        <f>SUM(V118:V125)</f>
        <v>586000</v>
      </c>
      <c r="V114" s="1217"/>
    </row>
    <row r="115" spans="1:22">
      <c r="A115" s="1229"/>
      <c r="B115" s="1234"/>
      <c r="C115" s="1235"/>
      <c r="D115" s="1235"/>
      <c r="E115" s="1235"/>
      <c r="F115" s="1271"/>
      <c r="G115" s="1271"/>
      <c r="H115" s="1271"/>
      <c r="I115" s="1271"/>
      <c r="J115" s="1285"/>
      <c r="K115" s="1285"/>
      <c r="L115" s="1274"/>
      <c r="M115" s="1253"/>
      <c r="N115" s="1214"/>
      <c r="O115" s="1207"/>
      <c r="P115" s="1214"/>
      <c r="Q115" s="1214"/>
      <c r="R115" s="1214"/>
      <c r="S115" s="1214"/>
      <c r="T115" s="1214"/>
      <c r="U115" s="1218"/>
      <c r="V115" s="1219"/>
    </row>
    <row r="116" spans="1:22">
      <c r="A116" s="1229"/>
      <c r="B116" s="1268" t="s">
        <v>112</v>
      </c>
      <c r="C116" s="1207"/>
      <c r="D116" s="1207">
        <v>75075</v>
      </c>
      <c r="E116" s="1207"/>
      <c r="F116" s="1271"/>
      <c r="G116" s="1271"/>
      <c r="H116" s="1271"/>
      <c r="I116" s="1271"/>
      <c r="J116" s="1285"/>
      <c r="K116" s="1285"/>
      <c r="L116" s="1274"/>
      <c r="M116" s="1253"/>
      <c r="N116" s="1214"/>
      <c r="O116" s="1207"/>
      <c r="P116" s="1214"/>
      <c r="Q116" s="1214"/>
      <c r="R116" s="1214"/>
      <c r="S116" s="1214"/>
      <c r="T116" s="1214"/>
      <c r="U116" s="1218"/>
      <c r="V116" s="1219"/>
    </row>
    <row r="117" spans="1:22">
      <c r="A117" s="1229"/>
      <c r="B117" s="1269"/>
      <c r="C117" s="1270"/>
      <c r="D117" s="1270"/>
      <c r="E117" s="1270"/>
      <c r="F117" s="1272"/>
      <c r="G117" s="1272"/>
      <c r="H117" s="1272"/>
      <c r="I117" s="1272"/>
      <c r="J117" s="1285"/>
      <c r="K117" s="1285"/>
      <c r="L117" s="1274"/>
      <c r="M117" s="1253"/>
      <c r="N117" s="1214"/>
      <c r="O117" s="1207"/>
      <c r="P117" s="1214"/>
      <c r="Q117" s="1214"/>
      <c r="R117" s="1214"/>
      <c r="S117" s="1214"/>
      <c r="T117" s="1214"/>
      <c r="U117" s="1220"/>
      <c r="V117" s="1221"/>
    </row>
    <row r="118" spans="1:22" ht="13.5" thickBot="1">
      <c r="A118" s="1230"/>
      <c r="B118" s="1230" t="s">
        <v>177</v>
      </c>
      <c r="C118" s="1275"/>
      <c r="D118" s="1275"/>
      <c r="E118" s="1275"/>
      <c r="F118" s="1275"/>
      <c r="G118" s="1275"/>
      <c r="H118" s="1275"/>
      <c r="I118" s="1276"/>
      <c r="J118" s="1286"/>
      <c r="K118" s="1285"/>
      <c r="L118" s="1274"/>
      <c r="M118" s="1205" t="s">
        <v>152</v>
      </c>
      <c r="N118" s="1206">
        <f>SUM(P118:T121)</f>
        <v>498100</v>
      </c>
      <c r="O118" s="1207" t="s">
        <v>117</v>
      </c>
      <c r="P118" s="1206">
        <v>244800</v>
      </c>
      <c r="Q118" s="1206">
        <v>253300</v>
      </c>
      <c r="R118" s="1206"/>
      <c r="S118" s="1206"/>
      <c r="T118" s="1222"/>
      <c r="U118" s="1239" t="s">
        <v>153</v>
      </c>
      <c r="V118" s="1237">
        <f>P114</f>
        <v>288000</v>
      </c>
    </row>
    <row r="119" spans="1:22" ht="14.25" thickTop="1" thickBot="1">
      <c r="A119" s="1230"/>
      <c r="B119" s="1277"/>
      <c r="C119" s="1278"/>
      <c r="D119" s="1278"/>
      <c r="E119" s="1278"/>
      <c r="F119" s="1278"/>
      <c r="G119" s="1278"/>
      <c r="H119" s="1278"/>
      <c r="I119" s="1279"/>
      <c r="J119" s="1286"/>
      <c r="K119" s="1285"/>
      <c r="L119" s="1274"/>
      <c r="M119" s="1205"/>
      <c r="N119" s="1207"/>
      <c r="O119" s="1207"/>
      <c r="P119" s="1206"/>
      <c r="Q119" s="1206"/>
      <c r="R119" s="1206"/>
      <c r="S119" s="1206"/>
      <c r="T119" s="1223"/>
      <c r="U119" s="1224"/>
      <c r="V119" s="1238"/>
    </row>
    <row r="120" spans="1:22" ht="14.25" thickTop="1" thickBot="1">
      <c r="A120" s="1230"/>
      <c r="B120" s="1277"/>
      <c r="C120" s="1278"/>
      <c r="D120" s="1278"/>
      <c r="E120" s="1278"/>
      <c r="F120" s="1278"/>
      <c r="G120" s="1278"/>
      <c r="H120" s="1278"/>
      <c r="I120" s="1279"/>
      <c r="J120" s="1286"/>
      <c r="K120" s="1285"/>
      <c r="L120" s="1288">
        <v>7380</v>
      </c>
      <c r="M120" s="1205"/>
      <c r="N120" s="1207"/>
      <c r="O120" s="1207"/>
      <c r="P120" s="1206"/>
      <c r="Q120" s="1206"/>
      <c r="R120" s="1206"/>
      <c r="S120" s="1206"/>
      <c r="T120" s="1223"/>
      <c r="U120" s="1224" t="s">
        <v>154</v>
      </c>
      <c r="V120" s="1238">
        <f>Q114</f>
        <v>298000</v>
      </c>
    </row>
    <row r="121" spans="1:22" ht="13.5" thickTop="1">
      <c r="A121" s="1230"/>
      <c r="B121" s="1280"/>
      <c r="C121" s="1281"/>
      <c r="D121" s="1281"/>
      <c r="E121" s="1281"/>
      <c r="F121" s="1281"/>
      <c r="G121" s="1281"/>
      <c r="H121" s="1281"/>
      <c r="I121" s="1282"/>
      <c r="J121" s="1286"/>
      <c r="K121" s="1285"/>
      <c r="L121" s="1288"/>
      <c r="M121" s="1205"/>
      <c r="N121" s="1207"/>
      <c r="O121" s="1207"/>
      <c r="P121" s="1206"/>
      <c r="Q121" s="1206"/>
      <c r="R121" s="1206"/>
      <c r="S121" s="1206"/>
      <c r="T121" s="1290"/>
      <c r="U121" s="1224"/>
      <c r="V121" s="1238"/>
    </row>
    <row r="122" spans="1:22" ht="13.5" thickBot="1">
      <c r="A122" s="1230"/>
      <c r="B122" s="1256" t="s">
        <v>176</v>
      </c>
      <c r="C122" s="1257"/>
      <c r="D122" s="1257"/>
      <c r="E122" s="1257"/>
      <c r="F122" s="1257"/>
      <c r="G122" s="1257"/>
      <c r="H122" s="1257"/>
      <c r="I122" s="1258"/>
      <c r="J122" s="1285"/>
      <c r="K122" s="1285"/>
      <c r="L122" s="1288"/>
      <c r="M122" s="1262" t="s">
        <v>158</v>
      </c>
      <c r="N122" s="1206">
        <f>SUM(P122:T125)</f>
        <v>87900</v>
      </c>
      <c r="O122" s="1207" t="s">
        <v>117</v>
      </c>
      <c r="P122" s="1206">
        <v>43200</v>
      </c>
      <c r="Q122" s="1206">
        <v>44700</v>
      </c>
      <c r="R122" s="1206"/>
      <c r="S122" s="1206"/>
      <c r="T122" s="1222"/>
      <c r="U122" s="1224"/>
      <c r="V122" s="1210"/>
    </row>
    <row r="123" spans="1:22" ht="14.25" thickTop="1" thickBot="1">
      <c r="A123" s="1230"/>
      <c r="B123" s="1256"/>
      <c r="C123" s="1257"/>
      <c r="D123" s="1257"/>
      <c r="E123" s="1257"/>
      <c r="F123" s="1257"/>
      <c r="G123" s="1257"/>
      <c r="H123" s="1257"/>
      <c r="I123" s="1258"/>
      <c r="J123" s="1285"/>
      <c r="K123" s="1285"/>
      <c r="L123" s="1288"/>
      <c r="M123" s="1263"/>
      <c r="N123" s="1207"/>
      <c r="O123" s="1207"/>
      <c r="P123" s="1206"/>
      <c r="Q123" s="1206"/>
      <c r="R123" s="1206"/>
      <c r="S123" s="1206"/>
      <c r="T123" s="1223"/>
      <c r="U123" s="1224"/>
      <c r="V123" s="1210"/>
    </row>
    <row r="124" spans="1:22" ht="14.25" thickTop="1" thickBot="1">
      <c r="A124" s="1230"/>
      <c r="B124" s="1256"/>
      <c r="C124" s="1257"/>
      <c r="D124" s="1257"/>
      <c r="E124" s="1257"/>
      <c r="F124" s="1257"/>
      <c r="G124" s="1257"/>
      <c r="H124" s="1257"/>
      <c r="I124" s="1258"/>
      <c r="J124" s="1285"/>
      <c r="K124" s="1285"/>
      <c r="L124" s="1288"/>
      <c r="M124" s="1263"/>
      <c r="N124" s="1207"/>
      <c r="O124" s="1207"/>
      <c r="P124" s="1206"/>
      <c r="Q124" s="1206"/>
      <c r="R124" s="1206"/>
      <c r="S124" s="1206"/>
      <c r="T124" s="1223"/>
      <c r="U124" s="1208"/>
      <c r="V124" s="1210"/>
    </row>
    <row r="125" spans="1:22" ht="14.25" thickTop="1" thickBot="1">
      <c r="A125" s="1231"/>
      <c r="B125" s="1259"/>
      <c r="C125" s="1260"/>
      <c r="D125" s="1260"/>
      <c r="E125" s="1260"/>
      <c r="F125" s="1260"/>
      <c r="G125" s="1260"/>
      <c r="H125" s="1260"/>
      <c r="I125" s="1261"/>
      <c r="J125" s="1287"/>
      <c r="K125" s="1287"/>
      <c r="L125" s="1289"/>
      <c r="M125" s="1264"/>
      <c r="N125" s="1265"/>
      <c r="O125" s="1265"/>
      <c r="P125" s="1212"/>
      <c r="Q125" s="1212"/>
      <c r="R125" s="1212"/>
      <c r="S125" s="1212"/>
      <c r="T125" s="1223"/>
      <c r="U125" s="1209"/>
      <c r="V125" s="1211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240" t="s">
        <v>144</v>
      </c>
      <c r="B128" s="1241"/>
      <c r="C128" s="1241"/>
      <c r="D128" s="1241"/>
      <c r="E128" s="1241"/>
      <c r="F128" s="1241"/>
      <c r="G128" s="1241"/>
      <c r="H128" s="1241"/>
      <c r="I128" s="1241"/>
      <c r="J128" s="1241"/>
      <c r="K128" s="1242"/>
      <c r="L128" s="1249">
        <f>SUM(N128,L136)</f>
        <v>11745661</v>
      </c>
      <c r="M128" s="1252" t="s">
        <v>125</v>
      </c>
      <c r="N128" s="1213">
        <f>SUM(N132:N139)</f>
        <v>8570141</v>
      </c>
      <c r="O128" s="1255" t="s">
        <v>117</v>
      </c>
      <c r="P128" s="1213">
        <f>IF(SUM(P132:P139)=(P114+P101+P88+P75+P62+P45+P32+P19),SUM(P132:P139),"błąd")</f>
        <v>4504670</v>
      </c>
      <c r="Q128" s="1213">
        <f t="shared" ref="Q128:T128" si="8">IF(SUM(Q132:Q139)=(Q114+Q101+Q88+Q75+Q62+Q45+Q32+Q19),SUM(Q132:Q139),"błąd")</f>
        <v>4065471</v>
      </c>
      <c r="R128" s="1213">
        <f t="shared" si="8"/>
        <v>0</v>
      </c>
      <c r="S128" s="1213">
        <f t="shared" si="8"/>
        <v>0</v>
      </c>
      <c r="T128" s="1213">
        <f t="shared" si="8"/>
        <v>0</v>
      </c>
      <c r="U128" s="1216">
        <f>SUM(V132:V139)</f>
        <v>8570141</v>
      </c>
      <c r="V128" s="1217"/>
    </row>
    <row r="129" spans="1:22">
      <c r="A129" s="1243"/>
      <c r="B129" s="1244"/>
      <c r="C129" s="1244"/>
      <c r="D129" s="1244"/>
      <c r="E129" s="1244"/>
      <c r="F129" s="1244"/>
      <c r="G129" s="1244"/>
      <c r="H129" s="1244"/>
      <c r="I129" s="1244"/>
      <c r="J129" s="1244"/>
      <c r="K129" s="1245"/>
      <c r="L129" s="1250"/>
      <c r="M129" s="1253"/>
      <c r="N129" s="1214"/>
      <c r="O129" s="1207"/>
      <c r="P129" s="1214"/>
      <c r="Q129" s="1214"/>
      <c r="R129" s="1214"/>
      <c r="S129" s="1214"/>
      <c r="T129" s="1214"/>
      <c r="U129" s="1218"/>
      <c r="V129" s="1219"/>
    </row>
    <row r="130" spans="1:22">
      <c r="A130" s="1243"/>
      <c r="B130" s="1244"/>
      <c r="C130" s="1244"/>
      <c r="D130" s="1244"/>
      <c r="E130" s="1244"/>
      <c r="F130" s="1244"/>
      <c r="G130" s="1244"/>
      <c r="H130" s="1244"/>
      <c r="I130" s="1244"/>
      <c r="J130" s="1244"/>
      <c r="K130" s="1245"/>
      <c r="L130" s="1250"/>
      <c r="M130" s="1253"/>
      <c r="N130" s="1214"/>
      <c r="O130" s="1207"/>
      <c r="P130" s="1214"/>
      <c r="Q130" s="1214"/>
      <c r="R130" s="1214"/>
      <c r="S130" s="1214"/>
      <c r="T130" s="1214"/>
      <c r="U130" s="1218"/>
      <c r="V130" s="1219"/>
    </row>
    <row r="131" spans="1:22">
      <c r="A131" s="1243"/>
      <c r="B131" s="1244"/>
      <c r="C131" s="1244"/>
      <c r="D131" s="1244"/>
      <c r="E131" s="1244"/>
      <c r="F131" s="1244"/>
      <c r="G131" s="1244"/>
      <c r="H131" s="1244"/>
      <c r="I131" s="1244"/>
      <c r="J131" s="1244"/>
      <c r="K131" s="1245"/>
      <c r="L131" s="1250"/>
      <c r="M131" s="1254"/>
      <c r="N131" s="1215"/>
      <c r="O131" s="1207"/>
      <c r="P131" s="1215"/>
      <c r="Q131" s="1215"/>
      <c r="R131" s="1215"/>
      <c r="S131" s="1215"/>
      <c r="T131" s="1215"/>
      <c r="U131" s="1220"/>
      <c r="V131" s="1221"/>
    </row>
    <row r="132" spans="1:22">
      <c r="A132" s="1243"/>
      <c r="B132" s="1244"/>
      <c r="C132" s="1244"/>
      <c r="D132" s="1244"/>
      <c r="E132" s="1244"/>
      <c r="F132" s="1244"/>
      <c r="G132" s="1244"/>
      <c r="H132" s="1244"/>
      <c r="I132" s="1244"/>
      <c r="J132" s="1244"/>
      <c r="K132" s="1245"/>
      <c r="L132" s="1251"/>
      <c r="M132" s="1205" t="s">
        <v>152</v>
      </c>
      <c r="N132" s="1206">
        <f>SUM(P132:T135)</f>
        <v>2817005</v>
      </c>
      <c r="O132" s="1207" t="s">
        <v>117</v>
      </c>
      <c r="P132" s="1206">
        <f>SUM(P53,P23,P36,P92,P66,P79,P105,P118)</f>
        <v>1686405</v>
      </c>
      <c r="Q132" s="1206">
        <f>SUM(Q53,Q23,Q36,Q92,Q66,Q79,Q105,Q118)</f>
        <v>1130600</v>
      </c>
      <c r="R132" s="1225">
        <f t="shared" ref="R132:T132" si="9">SUM(R45,R53,R36,R92,R118)</f>
        <v>0</v>
      </c>
      <c r="S132" s="1225">
        <f t="shared" si="9"/>
        <v>0</v>
      </c>
      <c r="T132" s="1225">
        <f t="shared" si="9"/>
        <v>0</v>
      </c>
      <c r="U132" s="1203" t="s">
        <v>153</v>
      </c>
      <c r="V132" s="1237">
        <f>P128</f>
        <v>4504670</v>
      </c>
    </row>
    <row r="133" spans="1:22">
      <c r="A133" s="1243"/>
      <c r="B133" s="1244"/>
      <c r="C133" s="1244"/>
      <c r="D133" s="1244"/>
      <c r="E133" s="1244"/>
      <c r="F133" s="1244"/>
      <c r="G133" s="1244"/>
      <c r="H133" s="1244"/>
      <c r="I133" s="1244"/>
      <c r="J133" s="1244"/>
      <c r="K133" s="1245"/>
      <c r="L133" s="1251"/>
      <c r="M133" s="1205"/>
      <c r="N133" s="1206"/>
      <c r="O133" s="1207"/>
      <c r="P133" s="1206"/>
      <c r="Q133" s="1206"/>
      <c r="R133" s="1226"/>
      <c r="S133" s="1226"/>
      <c r="T133" s="1226"/>
      <c r="U133" s="1204"/>
      <c r="V133" s="1238"/>
    </row>
    <row r="134" spans="1:22">
      <c r="A134" s="1243"/>
      <c r="B134" s="1244"/>
      <c r="C134" s="1244"/>
      <c r="D134" s="1244"/>
      <c r="E134" s="1244"/>
      <c r="F134" s="1244"/>
      <c r="G134" s="1244"/>
      <c r="H134" s="1244"/>
      <c r="I134" s="1244"/>
      <c r="J134" s="1244"/>
      <c r="K134" s="1245"/>
      <c r="L134" s="1251"/>
      <c r="M134" s="1205"/>
      <c r="N134" s="1206"/>
      <c r="O134" s="1207"/>
      <c r="P134" s="1206"/>
      <c r="Q134" s="1206"/>
      <c r="R134" s="1226"/>
      <c r="S134" s="1226"/>
      <c r="T134" s="1226"/>
      <c r="U134" s="1204" t="s">
        <v>154</v>
      </c>
      <c r="V134" s="1238">
        <f>Q128</f>
        <v>4065471</v>
      </c>
    </row>
    <row r="135" spans="1:22">
      <c r="A135" s="1243"/>
      <c r="B135" s="1244"/>
      <c r="C135" s="1244"/>
      <c r="D135" s="1244"/>
      <c r="E135" s="1244"/>
      <c r="F135" s="1244"/>
      <c r="G135" s="1244"/>
      <c r="H135" s="1244"/>
      <c r="I135" s="1244"/>
      <c r="J135" s="1244"/>
      <c r="K135" s="1245"/>
      <c r="L135" s="1251"/>
      <c r="M135" s="1205"/>
      <c r="N135" s="1206"/>
      <c r="O135" s="1207"/>
      <c r="P135" s="1206"/>
      <c r="Q135" s="1206"/>
      <c r="R135" s="1227"/>
      <c r="S135" s="1227"/>
      <c r="T135" s="1227"/>
      <c r="U135" s="1204"/>
      <c r="V135" s="1238"/>
    </row>
    <row r="136" spans="1:22">
      <c r="A136" s="1243"/>
      <c r="B136" s="1244"/>
      <c r="C136" s="1244"/>
      <c r="D136" s="1244"/>
      <c r="E136" s="1244"/>
      <c r="F136" s="1244"/>
      <c r="G136" s="1244"/>
      <c r="H136" s="1244"/>
      <c r="I136" s="1244"/>
      <c r="J136" s="1244"/>
      <c r="K136" s="1245"/>
      <c r="L136" s="1266">
        <f>L25+L38+L53+L68+L81+L94+L107+L120</f>
        <v>3175520</v>
      </c>
      <c r="M136" s="1262" t="s">
        <v>165</v>
      </c>
      <c r="N136" s="1206">
        <f>SUM(P136:T139)</f>
        <v>5753136</v>
      </c>
      <c r="O136" s="1207" t="s">
        <v>117</v>
      </c>
      <c r="P136" s="1225">
        <f>SUM(P49,P57,P40,P96,P70,P83,P109,P122)</f>
        <v>2818265</v>
      </c>
      <c r="Q136" s="1225">
        <f>SUM(Q49,Q57,Q40,Q96,Q70,Q83,Q109,Q122)</f>
        <v>2934871</v>
      </c>
      <c r="R136" s="1226">
        <f t="shared" ref="R136:T136" si="10">SUM(R49,R57,R40,R96,R122)</f>
        <v>0</v>
      </c>
      <c r="S136" s="1226">
        <f t="shared" si="10"/>
        <v>0</v>
      </c>
      <c r="T136" s="1226">
        <f t="shared" si="10"/>
        <v>0</v>
      </c>
      <c r="U136" s="1204" t="s">
        <v>163</v>
      </c>
      <c r="V136" s="1199">
        <f>R128</f>
        <v>0</v>
      </c>
    </row>
    <row r="137" spans="1:22">
      <c r="A137" s="1243"/>
      <c r="B137" s="1244"/>
      <c r="C137" s="1244"/>
      <c r="D137" s="1244"/>
      <c r="E137" s="1244"/>
      <c r="F137" s="1244"/>
      <c r="G137" s="1244"/>
      <c r="H137" s="1244"/>
      <c r="I137" s="1244"/>
      <c r="J137" s="1244"/>
      <c r="K137" s="1245"/>
      <c r="L137" s="1266"/>
      <c r="M137" s="1263"/>
      <c r="N137" s="1206"/>
      <c r="O137" s="1207"/>
      <c r="P137" s="1226"/>
      <c r="Q137" s="1226"/>
      <c r="R137" s="1226"/>
      <c r="S137" s="1226"/>
      <c r="T137" s="1226"/>
      <c r="U137" s="1204"/>
      <c r="V137" s="1199"/>
    </row>
    <row r="138" spans="1:22">
      <c r="A138" s="1243"/>
      <c r="B138" s="1244"/>
      <c r="C138" s="1244"/>
      <c r="D138" s="1244"/>
      <c r="E138" s="1244"/>
      <c r="F138" s="1244"/>
      <c r="G138" s="1244"/>
      <c r="H138" s="1244"/>
      <c r="I138" s="1244"/>
      <c r="J138" s="1244"/>
      <c r="K138" s="1245"/>
      <c r="L138" s="1266"/>
      <c r="M138" s="1263"/>
      <c r="N138" s="1206"/>
      <c r="O138" s="1207"/>
      <c r="P138" s="1226"/>
      <c r="Q138" s="1226"/>
      <c r="R138" s="1226"/>
      <c r="S138" s="1226"/>
      <c r="T138" s="1226"/>
      <c r="U138" s="1200"/>
      <c r="V138" s="1199">
        <f>S128</f>
        <v>0</v>
      </c>
    </row>
    <row r="139" spans="1:22" ht="13.5" thickBot="1">
      <c r="A139" s="1246"/>
      <c r="B139" s="1247"/>
      <c r="C139" s="1247"/>
      <c r="D139" s="1247"/>
      <c r="E139" s="1247"/>
      <c r="F139" s="1247"/>
      <c r="G139" s="1247"/>
      <c r="H139" s="1247"/>
      <c r="I139" s="1247"/>
      <c r="J139" s="1247"/>
      <c r="K139" s="1248"/>
      <c r="L139" s="1267"/>
      <c r="M139" s="1264"/>
      <c r="N139" s="1212"/>
      <c r="O139" s="1265"/>
      <c r="P139" s="1222"/>
      <c r="Q139" s="1222"/>
      <c r="R139" s="1222"/>
      <c r="S139" s="1222"/>
      <c r="T139" s="1222"/>
      <c r="U139" s="1201"/>
      <c r="V139" s="1202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07"/>
      <c r="Q141" s="607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J82" zoomScale="106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446" t="s">
        <v>257</v>
      </c>
      <c r="V1" s="1446"/>
      <c r="W1" s="1446"/>
      <c r="X1" s="1446"/>
      <c r="Y1" s="1446"/>
      <c r="Z1" s="1446"/>
      <c r="AA1" s="1446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446"/>
      <c r="V2" s="1446"/>
      <c r="W2" s="1446"/>
      <c r="X2" s="1446"/>
      <c r="Y2" s="1446"/>
      <c r="Z2" s="1446"/>
      <c r="AA2" s="1446"/>
    </row>
    <row r="3" spans="1:27" ht="15.75">
      <c r="A3" s="1447" t="s">
        <v>145</v>
      </c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7"/>
      <c r="R3" s="1447"/>
      <c r="S3" s="1447"/>
      <c r="T3" s="1447"/>
      <c r="U3" s="1447"/>
      <c r="V3" s="1447"/>
      <c r="W3" s="1447"/>
      <c r="X3" s="1447"/>
      <c r="Y3" s="1447"/>
      <c r="Z3" s="1447"/>
      <c r="AA3" s="1447"/>
    </row>
    <row r="4" spans="1:27" ht="16.5" thickBot="1">
      <c r="A4" s="1448" t="s">
        <v>178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</row>
    <row r="5" spans="1:27" ht="13.5" thickTop="1">
      <c r="A5" s="1449" t="s">
        <v>147</v>
      </c>
      <c r="B5" s="1453" t="s">
        <v>106</v>
      </c>
      <c r="C5" s="1453"/>
      <c r="D5" s="1455" t="s">
        <v>107</v>
      </c>
      <c r="E5" s="1455"/>
      <c r="F5" s="1453" t="s">
        <v>108</v>
      </c>
      <c r="G5" s="1453"/>
      <c r="H5" s="1453"/>
      <c r="I5" s="1453"/>
      <c r="J5" s="1457" t="s">
        <v>109</v>
      </c>
      <c r="K5" s="1458"/>
      <c r="L5" s="1461" t="s">
        <v>110</v>
      </c>
      <c r="M5" s="1457" t="s">
        <v>111</v>
      </c>
      <c r="N5" s="1463"/>
      <c r="O5" s="1463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5"/>
    </row>
    <row r="6" spans="1:27">
      <c r="A6" s="1450"/>
      <c r="B6" s="1454"/>
      <c r="C6" s="1454"/>
      <c r="D6" s="1456"/>
      <c r="E6" s="1456"/>
      <c r="F6" s="1454"/>
      <c r="G6" s="1454"/>
      <c r="H6" s="1454"/>
      <c r="I6" s="1454"/>
      <c r="J6" s="1459"/>
      <c r="K6" s="1460"/>
      <c r="L6" s="1462"/>
      <c r="M6" s="1466"/>
      <c r="N6" s="1467"/>
      <c r="O6" s="1467"/>
      <c r="P6" s="1467"/>
      <c r="Q6" s="1467"/>
      <c r="R6" s="1467"/>
      <c r="S6" s="1467"/>
      <c r="T6" s="1467"/>
      <c r="U6" s="1467"/>
      <c r="V6" s="1467"/>
      <c r="W6" s="1467"/>
      <c r="X6" s="1467"/>
      <c r="Y6" s="1467"/>
      <c r="Z6" s="1467"/>
      <c r="AA6" s="1468"/>
    </row>
    <row r="7" spans="1:27">
      <c r="A7" s="1450"/>
      <c r="B7" s="1429" t="s">
        <v>112</v>
      </c>
      <c r="C7" s="1430"/>
      <c r="D7" s="1433" t="s">
        <v>113</v>
      </c>
      <c r="E7" s="1434"/>
      <c r="F7" s="1429" t="s">
        <v>114</v>
      </c>
      <c r="G7" s="1437"/>
      <c r="H7" s="1437"/>
      <c r="I7" s="1430"/>
      <c r="J7" s="1459"/>
      <c r="K7" s="1460"/>
      <c r="L7" s="1462"/>
      <c r="M7" s="1469"/>
      <c r="N7" s="1470"/>
      <c r="O7" s="1470"/>
      <c r="P7" s="1470"/>
      <c r="Q7" s="1470"/>
      <c r="R7" s="1470"/>
      <c r="S7" s="1470"/>
      <c r="T7" s="1470"/>
      <c r="U7" s="1470"/>
      <c r="V7" s="1470"/>
      <c r="W7" s="1470"/>
      <c r="X7" s="1470"/>
      <c r="Y7" s="1470"/>
      <c r="Z7" s="1470"/>
      <c r="AA7" s="1471"/>
    </row>
    <row r="8" spans="1:27">
      <c r="A8" s="1450"/>
      <c r="B8" s="1431"/>
      <c r="C8" s="1432"/>
      <c r="D8" s="1435"/>
      <c r="E8" s="1436"/>
      <c r="F8" s="1431"/>
      <c r="G8" s="1438"/>
      <c r="H8" s="1438"/>
      <c r="I8" s="1432"/>
      <c r="J8" s="1459"/>
      <c r="K8" s="1460"/>
      <c r="L8" s="1462"/>
      <c r="M8" s="1439" t="s">
        <v>115</v>
      </c>
      <c r="N8" s="1442" t="s">
        <v>116</v>
      </c>
      <c r="O8" s="20"/>
      <c r="P8" s="1442">
        <v>2012</v>
      </c>
      <c r="Q8" s="1442">
        <v>2013</v>
      </c>
      <c r="R8" s="1426">
        <v>2014</v>
      </c>
      <c r="S8" s="1426">
        <v>2015</v>
      </c>
      <c r="T8" s="1426">
        <v>2016</v>
      </c>
      <c r="U8" s="1426">
        <v>2017</v>
      </c>
      <c r="V8" s="1426">
        <v>2018</v>
      </c>
      <c r="W8" s="1426">
        <v>2019</v>
      </c>
      <c r="X8" s="1426">
        <v>2020</v>
      </c>
      <c r="Y8" s="1426">
        <v>2021</v>
      </c>
      <c r="Z8" s="1426">
        <v>2022</v>
      </c>
      <c r="AA8" s="1472" t="s">
        <v>118</v>
      </c>
    </row>
    <row r="9" spans="1:27">
      <c r="A9" s="1451"/>
      <c r="B9" s="1429" t="s">
        <v>119</v>
      </c>
      <c r="C9" s="1437"/>
      <c r="D9" s="1437"/>
      <c r="E9" s="1437"/>
      <c r="F9" s="1437"/>
      <c r="G9" s="1437"/>
      <c r="H9" s="1437"/>
      <c r="I9" s="1430"/>
      <c r="J9" s="1459"/>
      <c r="K9" s="1460"/>
      <c r="L9" s="1462"/>
      <c r="M9" s="1440"/>
      <c r="N9" s="1443"/>
      <c r="O9" s="21"/>
      <c r="P9" s="1443"/>
      <c r="Q9" s="1443"/>
      <c r="R9" s="1427"/>
      <c r="S9" s="1427"/>
      <c r="T9" s="1427"/>
      <c r="U9" s="1427"/>
      <c r="V9" s="1427"/>
      <c r="W9" s="1427"/>
      <c r="X9" s="1427"/>
      <c r="Y9" s="1427"/>
      <c r="Z9" s="1427"/>
      <c r="AA9" s="1473"/>
    </row>
    <row r="10" spans="1:27">
      <c r="A10" s="1451"/>
      <c r="B10" s="1459"/>
      <c r="C10" s="1475"/>
      <c r="D10" s="1475"/>
      <c r="E10" s="1475"/>
      <c r="F10" s="1475"/>
      <c r="G10" s="1475"/>
      <c r="H10" s="1475"/>
      <c r="I10" s="1460"/>
      <c r="J10" s="1431"/>
      <c r="K10" s="1432"/>
      <c r="L10" s="1462"/>
      <c r="M10" s="1440"/>
      <c r="N10" s="1443"/>
      <c r="O10" s="21"/>
      <c r="P10" s="1443"/>
      <c r="Q10" s="1443"/>
      <c r="R10" s="1427"/>
      <c r="S10" s="1427"/>
      <c r="T10" s="1427"/>
      <c r="U10" s="1427"/>
      <c r="V10" s="1427"/>
      <c r="W10" s="1427"/>
      <c r="X10" s="1427"/>
      <c r="Y10" s="1427"/>
      <c r="Z10" s="1427"/>
      <c r="AA10" s="1473"/>
    </row>
    <row r="11" spans="1:27">
      <c r="A11" s="1451"/>
      <c r="B11" s="1459"/>
      <c r="C11" s="1475"/>
      <c r="D11" s="1475"/>
      <c r="E11" s="1475"/>
      <c r="F11" s="1475"/>
      <c r="G11" s="1475"/>
      <c r="H11" s="1475"/>
      <c r="I11" s="1460"/>
      <c r="J11" s="1476" t="s">
        <v>120</v>
      </c>
      <c r="K11" s="1476" t="s">
        <v>121</v>
      </c>
      <c r="L11" s="1454" t="s">
        <v>179</v>
      </c>
      <c r="M11" s="1440"/>
      <c r="N11" s="1443"/>
      <c r="O11" s="21"/>
      <c r="P11" s="1443"/>
      <c r="Q11" s="1443"/>
      <c r="R11" s="1427"/>
      <c r="S11" s="1427"/>
      <c r="T11" s="1427"/>
      <c r="U11" s="1427"/>
      <c r="V11" s="1427"/>
      <c r="W11" s="1427"/>
      <c r="X11" s="1427"/>
      <c r="Y11" s="1427"/>
      <c r="Z11" s="1427"/>
      <c r="AA11" s="1473"/>
    </row>
    <row r="12" spans="1:27">
      <c r="A12" s="1451"/>
      <c r="B12" s="1431"/>
      <c r="C12" s="1438"/>
      <c r="D12" s="1438"/>
      <c r="E12" s="1438"/>
      <c r="F12" s="1438"/>
      <c r="G12" s="1438"/>
      <c r="H12" s="1438"/>
      <c r="I12" s="1432"/>
      <c r="J12" s="1476"/>
      <c r="K12" s="1476"/>
      <c r="L12" s="1454"/>
      <c r="M12" s="1440"/>
      <c r="N12" s="1443"/>
      <c r="O12" s="21"/>
      <c r="P12" s="1443"/>
      <c r="Q12" s="1443"/>
      <c r="R12" s="1427"/>
      <c r="S12" s="1427"/>
      <c r="T12" s="1427"/>
      <c r="U12" s="1427"/>
      <c r="V12" s="1427"/>
      <c r="W12" s="1427"/>
      <c r="X12" s="1427"/>
      <c r="Y12" s="1427"/>
      <c r="Z12" s="1427"/>
      <c r="AA12" s="1473"/>
    </row>
    <row r="13" spans="1:27">
      <c r="A13" s="1451"/>
      <c r="B13" s="1429" t="s">
        <v>123</v>
      </c>
      <c r="C13" s="1437"/>
      <c r="D13" s="1437"/>
      <c r="E13" s="1437"/>
      <c r="F13" s="1437"/>
      <c r="G13" s="1437"/>
      <c r="H13" s="1437"/>
      <c r="I13" s="1430"/>
      <c r="J13" s="1476"/>
      <c r="K13" s="1476"/>
      <c r="L13" s="1454"/>
      <c r="M13" s="1440"/>
      <c r="N13" s="1443"/>
      <c r="O13" s="21"/>
      <c r="P13" s="1443"/>
      <c r="Q13" s="1443"/>
      <c r="R13" s="1427"/>
      <c r="S13" s="1427"/>
      <c r="T13" s="1427"/>
      <c r="U13" s="1427"/>
      <c r="V13" s="1427"/>
      <c r="W13" s="1427"/>
      <c r="X13" s="1427"/>
      <c r="Y13" s="1427"/>
      <c r="Z13" s="1427"/>
      <c r="AA13" s="1473"/>
    </row>
    <row r="14" spans="1:27">
      <c r="A14" s="1451"/>
      <c r="B14" s="1459"/>
      <c r="C14" s="1475"/>
      <c r="D14" s="1475"/>
      <c r="E14" s="1475"/>
      <c r="F14" s="1475"/>
      <c r="G14" s="1475"/>
      <c r="H14" s="1475"/>
      <c r="I14" s="1460"/>
      <c r="J14" s="1476"/>
      <c r="K14" s="1476"/>
      <c r="L14" s="1454"/>
      <c r="M14" s="1440"/>
      <c r="N14" s="1443"/>
      <c r="O14" s="21"/>
      <c r="P14" s="1443"/>
      <c r="Q14" s="1443"/>
      <c r="R14" s="1427"/>
      <c r="S14" s="1427"/>
      <c r="T14" s="1427"/>
      <c r="U14" s="1427"/>
      <c r="V14" s="1427"/>
      <c r="W14" s="1427"/>
      <c r="X14" s="1427"/>
      <c r="Y14" s="1427"/>
      <c r="Z14" s="1427"/>
      <c r="AA14" s="1473"/>
    </row>
    <row r="15" spans="1:27">
      <c r="A15" s="1451"/>
      <c r="B15" s="1459"/>
      <c r="C15" s="1475"/>
      <c r="D15" s="1475"/>
      <c r="E15" s="1475"/>
      <c r="F15" s="1475"/>
      <c r="G15" s="1475"/>
      <c r="H15" s="1475"/>
      <c r="I15" s="1460"/>
      <c r="J15" s="1476"/>
      <c r="K15" s="1476"/>
      <c r="L15" s="1454"/>
      <c r="M15" s="1440"/>
      <c r="N15" s="1443"/>
      <c r="O15" s="21"/>
      <c r="P15" s="1443"/>
      <c r="Q15" s="1443"/>
      <c r="R15" s="1427"/>
      <c r="S15" s="1427"/>
      <c r="T15" s="1427"/>
      <c r="U15" s="1427"/>
      <c r="V15" s="1427"/>
      <c r="W15" s="1427"/>
      <c r="X15" s="1427"/>
      <c r="Y15" s="1427"/>
      <c r="Z15" s="1427"/>
      <c r="AA15" s="1473"/>
    </row>
    <row r="16" spans="1:27" ht="13.5" thickBot="1">
      <c r="A16" s="1452"/>
      <c r="B16" s="1479"/>
      <c r="C16" s="1480"/>
      <c r="D16" s="1480"/>
      <c r="E16" s="1480"/>
      <c r="F16" s="1480"/>
      <c r="G16" s="1480"/>
      <c r="H16" s="1480"/>
      <c r="I16" s="1481"/>
      <c r="J16" s="1477"/>
      <c r="K16" s="1477"/>
      <c r="L16" s="1478"/>
      <c r="M16" s="1441"/>
      <c r="N16" s="1444"/>
      <c r="O16" s="22"/>
      <c r="P16" s="1445"/>
      <c r="Q16" s="1445"/>
      <c r="R16" s="1428"/>
      <c r="S16" s="1428"/>
      <c r="T16" s="1428"/>
      <c r="U16" s="1428"/>
      <c r="V16" s="1428"/>
      <c r="W16" s="1428"/>
      <c r="X16" s="1428"/>
      <c r="Y16" s="1428"/>
      <c r="Z16" s="1428"/>
      <c r="AA16" s="1474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399">
        <v>1</v>
      </c>
      <c r="B18" s="1404" t="s">
        <v>106</v>
      </c>
      <c r="C18" s="1405"/>
      <c r="D18" s="1405">
        <v>757</v>
      </c>
      <c r="E18" s="1405"/>
      <c r="F18" s="1408" t="s">
        <v>180</v>
      </c>
      <c r="G18" s="1408"/>
      <c r="H18" s="1408"/>
      <c r="I18" s="1408"/>
      <c r="J18" s="1394">
        <v>2007</v>
      </c>
      <c r="K18" s="1394">
        <v>2022</v>
      </c>
      <c r="L18" s="1390">
        <f>SUM(N18,L24)</f>
        <v>10907884.030000001</v>
      </c>
      <c r="M18" s="1392" t="s">
        <v>125</v>
      </c>
      <c r="N18" s="1377">
        <f>SUM(N22:N29)</f>
        <v>9250691.0300000012</v>
      </c>
      <c r="O18" s="1394" t="s">
        <v>117</v>
      </c>
      <c r="P18" s="1377">
        <f t="shared" ref="P18:AA18" si="0">SUM(P22:P29)</f>
        <v>1215893.6400000001</v>
      </c>
      <c r="Q18" s="1377">
        <f t="shared" si="0"/>
        <v>746153.88</v>
      </c>
      <c r="R18" s="1377">
        <f t="shared" si="0"/>
        <v>1110507.49</v>
      </c>
      <c r="S18" s="1377">
        <f t="shared" si="0"/>
        <v>1066553.8599999999</v>
      </c>
      <c r="T18" s="1377">
        <f t="shared" si="0"/>
        <v>821197.86</v>
      </c>
      <c r="U18" s="1377">
        <f t="shared" si="0"/>
        <v>746153.88</v>
      </c>
      <c r="V18" s="1377">
        <f t="shared" si="0"/>
        <v>746153.88</v>
      </c>
      <c r="W18" s="1377">
        <f t="shared" si="0"/>
        <v>746153.88</v>
      </c>
      <c r="X18" s="1377">
        <f t="shared" si="0"/>
        <v>746153.88</v>
      </c>
      <c r="Y18" s="1377">
        <f t="shared" si="0"/>
        <v>746153.88</v>
      </c>
      <c r="Z18" s="1377">
        <f t="shared" si="0"/>
        <v>559614.9</v>
      </c>
      <c r="AA18" s="1379">
        <f t="shared" si="0"/>
        <v>0</v>
      </c>
    </row>
    <row r="19" spans="1:27">
      <c r="A19" s="1400"/>
      <c r="B19" s="1406"/>
      <c r="C19" s="1407"/>
      <c r="D19" s="1407"/>
      <c r="E19" s="1407"/>
      <c r="F19" s="1409"/>
      <c r="G19" s="1409"/>
      <c r="H19" s="1409"/>
      <c r="I19" s="1409"/>
      <c r="J19" s="1375"/>
      <c r="K19" s="1375"/>
      <c r="L19" s="1391"/>
      <c r="M19" s="1393"/>
      <c r="N19" s="1378"/>
      <c r="O19" s="1375"/>
      <c r="P19" s="1378"/>
      <c r="Q19" s="1378"/>
      <c r="R19" s="1378"/>
      <c r="S19" s="1378"/>
      <c r="T19" s="1378"/>
      <c r="U19" s="1378"/>
      <c r="V19" s="1378"/>
      <c r="W19" s="1378"/>
      <c r="X19" s="1378"/>
      <c r="Y19" s="1378"/>
      <c r="Z19" s="1378"/>
      <c r="AA19" s="1380"/>
    </row>
    <row r="20" spans="1:27">
      <c r="A20" s="1400"/>
      <c r="B20" s="1418" t="s">
        <v>112</v>
      </c>
      <c r="C20" s="1419"/>
      <c r="D20" s="1419">
        <v>75704</v>
      </c>
      <c r="E20" s="1419"/>
      <c r="F20" s="1409" t="s">
        <v>181</v>
      </c>
      <c r="G20" s="1409"/>
      <c r="H20" s="1409"/>
      <c r="I20" s="1409"/>
      <c r="J20" s="1375"/>
      <c r="K20" s="1375"/>
      <c r="L20" s="1391"/>
      <c r="M20" s="1393"/>
      <c r="N20" s="1378"/>
      <c r="O20" s="1375"/>
      <c r="P20" s="1378"/>
      <c r="Q20" s="1378"/>
      <c r="R20" s="1378"/>
      <c r="S20" s="1378"/>
      <c r="T20" s="1378"/>
      <c r="U20" s="1378"/>
      <c r="V20" s="1378"/>
      <c r="W20" s="1378"/>
      <c r="X20" s="1378"/>
      <c r="Y20" s="1378"/>
      <c r="Z20" s="1378"/>
      <c r="AA20" s="1380"/>
    </row>
    <row r="21" spans="1:27">
      <c r="A21" s="1400"/>
      <c r="B21" s="1420"/>
      <c r="C21" s="1374"/>
      <c r="D21" s="1374"/>
      <c r="E21" s="1374"/>
      <c r="F21" s="1409"/>
      <c r="G21" s="1409"/>
      <c r="H21" s="1409"/>
      <c r="I21" s="1409"/>
      <c r="J21" s="1375"/>
      <c r="K21" s="1375"/>
      <c r="L21" s="1391"/>
      <c r="M21" s="1393"/>
      <c r="N21" s="1378"/>
      <c r="O21" s="1395"/>
      <c r="P21" s="1378"/>
      <c r="Q21" s="1378"/>
      <c r="R21" s="1378"/>
      <c r="S21" s="1378"/>
      <c r="T21" s="1378"/>
      <c r="U21" s="1378"/>
      <c r="V21" s="1378"/>
      <c r="W21" s="1378"/>
      <c r="X21" s="1378"/>
      <c r="Y21" s="1378"/>
      <c r="Z21" s="1378"/>
      <c r="AA21" s="1380"/>
    </row>
    <row r="22" spans="1:27">
      <c r="A22" s="1401"/>
      <c r="B22" s="1411" t="s">
        <v>182</v>
      </c>
      <c r="C22" s="1411"/>
      <c r="D22" s="1411"/>
      <c r="E22" s="1411"/>
      <c r="F22" s="1411"/>
      <c r="G22" s="1411"/>
      <c r="H22" s="1411"/>
      <c r="I22" s="1411"/>
      <c r="J22" s="1410"/>
      <c r="K22" s="1375"/>
      <c r="L22" s="1391"/>
      <c r="M22" s="1396">
        <v>75704</v>
      </c>
      <c r="N22" s="26" t="s">
        <v>183</v>
      </c>
      <c r="O22" s="1374" t="s">
        <v>117</v>
      </c>
      <c r="P22" s="1366">
        <v>746153.88</v>
      </c>
      <c r="Q22" s="1366">
        <v>746153.88</v>
      </c>
      <c r="R22" s="1366">
        <v>746153.88</v>
      </c>
      <c r="S22" s="1366">
        <v>746153.88</v>
      </c>
      <c r="T22" s="1366">
        <v>746153.88</v>
      </c>
      <c r="U22" s="1366">
        <v>746153.88</v>
      </c>
      <c r="V22" s="1366">
        <v>746153.88</v>
      </c>
      <c r="W22" s="1366">
        <v>746153.88</v>
      </c>
      <c r="X22" s="1366">
        <v>746153.88</v>
      </c>
      <c r="Y22" s="1366">
        <v>746153.88</v>
      </c>
      <c r="Z22" s="1366">
        <v>559614.9</v>
      </c>
      <c r="AA22" s="1369">
        <v>0</v>
      </c>
    </row>
    <row r="23" spans="1:27">
      <c r="A23" s="1401"/>
      <c r="B23" s="1411"/>
      <c r="C23" s="1411"/>
      <c r="D23" s="1411"/>
      <c r="E23" s="1411"/>
      <c r="F23" s="1411"/>
      <c r="G23" s="1411"/>
      <c r="H23" s="1411"/>
      <c r="I23" s="1411"/>
      <c r="J23" s="1410"/>
      <c r="K23" s="1375"/>
      <c r="L23" s="1391"/>
      <c r="M23" s="1397"/>
      <c r="N23" s="1367">
        <f>SUM(P22:Z26)</f>
        <v>8021153.7000000002</v>
      </c>
      <c r="O23" s="1375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70"/>
    </row>
    <row r="24" spans="1:27">
      <c r="A24" s="1401"/>
      <c r="B24" s="1411"/>
      <c r="C24" s="1411"/>
      <c r="D24" s="1411"/>
      <c r="E24" s="1411"/>
      <c r="F24" s="1411"/>
      <c r="G24" s="1411"/>
      <c r="H24" s="1411"/>
      <c r="I24" s="1411"/>
      <c r="J24" s="1410"/>
      <c r="K24" s="1375"/>
      <c r="L24" s="1372">
        <f>1484246+172947</f>
        <v>1657193</v>
      </c>
      <c r="M24" s="1397"/>
      <c r="N24" s="1367"/>
      <c r="O24" s="1375"/>
      <c r="P24" s="1367"/>
      <c r="Q24" s="1367"/>
      <c r="R24" s="1367"/>
      <c r="S24" s="1367"/>
      <c r="T24" s="1367"/>
      <c r="U24" s="1367"/>
      <c r="V24" s="1367"/>
      <c r="W24" s="1367"/>
      <c r="X24" s="1367"/>
      <c r="Y24" s="1367"/>
      <c r="Z24" s="1367"/>
      <c r="AA24" s="1370"/>
    </row>
    <row r="25" spans="1:27">
      <c r="A25" s="1401"/>
      <c r="B25" s="1411"/>
      <c r="C25" s="1411"/>
      <c r="D25" s="1411"/>
      <c r="E25" s="1411"/>
      <c r="F25" s="1411"/>
      <c r="G25" s="1411"/>
      <c r="H25" s="1411"/>
      <c r="I25" s="1411"/>
      <c r="J25" s="1410"/>
      <c r="K25" s="1375"/>
      <c r="L25" s="1372"/>
      <c r="M25" s="1397"/>
      <c r="N25" s="1367"/>
      <c r="O25" s="1375"/>
      <c r="P25" s="1367"/>
      <c r="Q25" s="1367"/>
      <c r="R25" s="1367"/>
      <c r="S25" s="1367"/>
      <c r="T25" s="1367"/>
      <c r="U25" s="1367"/>
      <c r="V25" s="1367"/>
      <c r="W25" s="1367"/>
      <c r="X25" s="1367"/>
      <c r="Y25" s="1367"/>
      <c r="Z25" s="1367"/>
      <c r="AA25" s="1370"/>
    </row>
    <row r="26" spans="1:27">
      <c r="A26" s="1402"/>
      <c r="B26" s="1412" t="s">
        <v>184</v>
      </c>
      <c r="C26" s="1413"/>
      <c r="D26" s="1413"/>
      <c r="E26" s="1413"/>
      <c r="F26" s="1413"/>
      <c r="G26" s="1413"/>
      <c r="H26" s="1413"/>
      <c r="I26" s="1414"/>
      <c r="J26" s="1375"/>
      <c r="K26" s="1375"/>
      <c r="L26" s="1372"/>
      <c r="M26" s="1397"/>
      <c r="N26" s="1422"/>
      <c r="O26" s="1375"/>
      <c r="P26" s="1421"/>
      <c r="Q26" s="1421"/>
      <c r="R26" s="1421"/>
      <c r="S26" s="1421"/>
      <c r="T26" s="1421"/>
      <c r="U26" s="1421"/>
      <c r="V26" s="1421"/>
      <c r="W26" s="1421"/>
      <c r="X26" s="1421"/>
      <c r="Y26" s="1421"/>
      <c r="Z26" s="1421"/>
      <c r="AA26" s="1425"/>
    </row>
    <row r="27" spans="1:27">
      <c r="A27" s="1402"/>
      <c r="B27" s="1412"/>
      <c r="C27" s="1413"/>
      <c r="D27" s="1413"/>
      <c r="E27" s="1413"/>
      <c r="F27" s="1413"/>
      <c r="G27" s="1413"/>
      <c r="H27" s="1413"/>
      <c r="I27" s="1414"/>
      <c r="J27" s="1375"/>
      <c r="K27" s="1375"/>
      <c r="L27" s="1372"/>
      <c r="M27" s="1397"/>
      <c r="N27" s="27" t="s">
        <v>185</v>
      </c>
      <c r="O27" s="1375"/>
      <c r="P27" s="1423">
        <v>469739.76</v>
      </c>
      <c r="Q27" s="1367" t="s">
        <v>186</v>
      </c>
      <c r="R27" s="1423">
        <v>364353.61</v>
      </c>
      <c r="S27" s="1367">
        <v>320399.98</v>
      </c>
      <c r="T27" s="1367">
        <v>75043.98</v>
      </c>
      <c r="U27" s="1367"/>
      <c r="V27" s="1423"/>
      <c r="W27" s="1423"/>
      <c r="X27" s="1423"/>
      <c r="Y27" s="1423"/>
      <c r="Z27" s="1423"/>
      <c r="AA27" s="1424"/>
    </row>
    <row r="28" spans="1:27">
      <c r="A28" s="1402"/>
      <c r="B28" s="1412"/>
      <c r="C28" s="1413"/>
      <c r="D28" s="1413"/>
      <c r="E28" s="1413"/>
      <c r="F28" s="1413"/>
      <c r="G28" s="1413"/>
      <c r="H28" s="1413"/>
      <c r="I28" s="1414"/>
      <c r="J28" s="1375"/>
      <c r="K28" s="1375"/>
      <c r="L28" s="1372"/>
      <c r="M28" s="1397"/>
      <c r="N28" s="1367">
        <f>SUM(P27:Z29)</f>
        <v>1229537.33</v>
      </c>
      <c r="O28" s="1375"/>
      <c r="P28" s="1367"/>
      <c r="Q28" s="1367"/>
      <c r="R28" s="1367"/>
      <c r="S28" s="1367"/>
      <c r="T28" s="1367"/>
      <c r="U28" s="1367"/>
      <c r="V28" s="1367"/>
      <c r="W28" s="1367"/>
      <c r="X28" s="1367"/>
      <c r="Y28" s="1367"/>
      <c r="Z28" s="1367"/>
      <c r="AA28" s="1370"/>
    </row>
    <row r="29" spans="1:27" ht="13.5" thickBot="1">
      <c r="A29" s="1403"/>
      <c r="B29" s="1415"/>
      <c r="C29" s="1416"/>
      <c r="D29" s="1416"/>
      <c r="E29" s="1416"/>
      <c r="F29" s="1416"/>
      <c r="G29" s="1416"/>
      <c r="H29" s="1416"/>
      <c r="I29" s="1417"/>
      <c r="J29" s="1376"/>
      <c r="K29" s="1376"/>
      <c r="L29" s="1373"/>
      <c r="M29" s="1398"/>
      <c r="N29" s="1368"/>
      <c r="O29" s="1376"/>
      <c r="P29" s="1368"/>
      <c r="Q29" s="1368"/>
      <c r="R29" s="1368"/>
      <c r="S29" s="1368"/>
      <c r="T29" s="1368"/>
      <c r="U29" s="1368"/>
      <c r="V29" s="1368"/>
      <c r="W29" s="1368"/>
      <c r="X29" s="1368"/>
      <c r="Y29" s="1368"/>
      <c r="Z29" s="1368"/>
      <c r="AA29" s="1371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399">
        <v>2</v>
      </c>
      <c r="B31" s="1404" t="s">
        <v>106</v>
      </c>
      <c r="C31" s="1405"/>
      <c r="D31" s="1405">
        <v>757</v>
      </c>
      <c r="E31" s="1405"/>
      <c r="F31" s="1408" t="s">
        <v>180</v>
      </c>
      <c r="G31" s="1408"/>
      <c r="H31" s="1408"/>
      <c r="I31" s="1408"/>
      <c r="J31" s="1394">
        <v>2007</v>
      </c>
      <c r="K31" s="1394">
        <v>2013</v>
      </c>
      <c r="L31" s="1390">
        <f>SUM(N31,L37)</f>
        <v>500000</v>
      </c>
      <c r="M31" s="1392" t="s">
        <v>125</v>
      </c>
      <c r="N31" s="1377">
        <f>SUM(N35:N42)</f>
        <v>272532</v>
      </c>
      <c r="O31" s="1394" t="s">
        <v>117</v>
      </c>
      <c r="P31" s="1377">
        <f t="shared" ref="P31:AA31" si="1">SUM(P35:P42)</f>
        <v>100000</v>
      </c>
      <c r="Q31" s="1377">
        <f t="shared" si="1"/>
        <v>172532</v>
      </c>
      <c r="R31" s="1377">
        <f t="shared" si="1"/>
        <v>0</v>
      </c>
      <c r="S31" s="1377">
        <f t="shared" si="1"/>
        <v>0</v>
      </c>
      <c r="T31" s="1377">
        <f t="shared" si="1"/>
        <v>0</v>
      </c>
      <c r="U31" s="1377">
        <f t="shared" si="1"/>
        <v>0</v>
      </c>
      <c r="V31" s="1377">
        <f t="shared" si="1"/>
        <v>0</v>
      </c>
      <c r="W31" s="1377">
        <f t="shared" si="1"/>
        <v>0</v>
      </c>
      <c r="X31" s="1377">
        <f t="shared" si="1"/>
        <v>0</v>
      </c>
      <c r="Y31" s="1377">
        <f t="shared" si="1"/>
        <v>0</v>
      </c>
      <c r="Z31" s="1377">
        <f t="shared" si="1"/>
        <v>0</v>
      </c>
      <c r="AA31" s="1379">
        <f t="shared" si="1"/>
        <v>0</v>
      </c>
    </row>
    <row r="32" spans="1:27">
      <c r="A32" s="1400"/>
      <c r="B32" s="1406"/>
      <c r="C32" s="1407"/>
      <c r="D32" s="1407"/>
      <c r="E32" s="1407"/>
      <c r="F32" s="1409"/>
      <c r="G32" s="1409"/>
      <c r="H32" s="1409"/>
      <c r="I32" s="1409"/>
      <c r="J32" s="1375"/>
      <c r="K32" s="1375"/>
      <c r="L32" s="1391"/>
      <c r="M32" s="1393"/>
      <c r="N32" s="1378"/>
      <c r="O32" s="1375"/>
      <c r="P32" s="1378"/>
      <c r="Q32" s="1378"/>
      <c r="R32" s="1378"/>
      <c r="S32" s="1378"/>
      <c r="T32" s="1378"/>
      <c r="U32" s="1378"/>
      <c r="V32" s="1378"/>
      <c r="W32" s="1378"/>
      <c r="X32" s="1378"/>
      <c r="Y32" s="1378"/>
      <c r="Z32" s="1378"/>
      <c r="AA32" s="1380"/>
    </row>
    <row r="33" spans="1:27">
      <c r="A33" s="1400"/>
      <c r="B33" s="1418" t="s">
        <v>112</v>
      </c>
      <c r="C33" s="1419"/>
      <c r="D33" s="1419">
        <v>75704</v>
      </c>
      <c r="E33" s="1419"/>
      <c r="F33" s="1409" t="s">
        <v>181</v>
      </c>
      <c r="G33" s="1409"/>
      <c r="H33" s="1409"/>
      <c r="I33" s="1409"/>
      <c r="J33" s="1375"/>
      <c r="K33" s="1375"/>
      <c r="L33" s="1391"/>
      <c r="M33" s="1393"/>
      <c r="N33" s="1378"/>
      <c r="O33" s="1375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80"/>
    </row>
    <row r="34" spans="1:27">
      <c r="A34" s="1400"/>
      <c r="B34" s="1420"/>
      <c r="C34" s="1374"/>
      <c r="D34" s="1374"/>
      <c r="E34" s="1374"/>
      <c r="F34" s="1409"/>
      <c r="G34" s="1409"/>
      <c r="H34" s="1409"/>
      <c r="I34" s="1409"/>
      <c r="J34" s="1375"/>
      <c r="K34" s="1375"/>
      <c r="L34" s="1391"/>
      <c r="M34" s="1393"/>
      <c r="N34" s="1378"/>
      <c r="O34" s="1395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80"/>
    </row>
    <row r="35" spans="1:27">
      <c r="A35" s="1401"/>
      <c r="B35" s="1411" t="s">
        <v>187</v>
      </c>
      <c r="C35" s="1411"/>
      <c r="D35" s="1411"/>
      <c r="E35" s="1411"/>
      <c r="F35" s="1411"/>
      <c r="G35" s="1411"/>
      <c r="H35" s="1411"/>
      <c r="I35" s="1411"/>
      <c r="J35" s="1410"/>
      <c r="K35" s="1375"/>
      <c r="L35" s="1391"/>
      <c r="M35" s="1396">
        <v>75704</v>
      </c>
      <c r="N35" s="1366">
        <f>SUM(P35:Z42)</f>
        <v>272532</v>
      </c>
      <c r="O35" s="1374" t="s">
        <v>117</v>
      </c>
      <c r="P35" s="1366">
        <v>100000</v>
      </c>
      <c r="Q35" s="1366">
        <v>172532</v>
      </c>
      <c r="R35" s="1366">
        <v>0</v>
      </c>
      <c r="S35" s="1366">
        <v>0</v>
      </c>
      <c r="T35" s="1366">
        <v>0</v>
      </c>
      <c r="U35" s="1366">
        <v>0</v>
      </c>
      <c r="V35" s="1366">
        <v>0</v>
      </c>
      <c r="W35" s="1366">
        <v>0</v>
      </c>
      <c r="X35" s="1366">
        <v>0</v>
      </c>
      <c r="Y35" s="1366">
        <v>0</v>
      </c>
      <c r="Z35" s="1366">
        <v>0</v>
      </c>
      <c r="AA35" s="1369">
        <v>0</v>
      </c>
    </row>
    <row r="36" spans="1:27">
      <c r="A36" s="1401"/>
      <c r="B36" s="1411"/>
      <c r="C36" s="1411"/>
      <c r="D36" s="1411"/>
      <c r="E36" s="1411"/>
      <c r="F36" s="1411"/>
      <c r="G36" s="1411"/>
      <c r="H36" s="1411"/>
      <c r="I36" s="1411"/>
      <c r="J36" s="1410"/>
      <c r="K36" s="1375"/>
      <c r="L36" s="1391"/>
      <c r="M36" s="1397"/>
      <c r="N36" s="1367"/>
      <c r="O36" s="1375"/>
      <c r="P36" s="1367"/>
      <c r="Q36" s="1367"/>
      <c r="R36" s="1367"/>
      <c r="S36" s="1367"/>
      <c r="T36" s="1367"/>
      <c r="U36" s="1367"/>
      <c r="V36" s="1367"/>
      <c r="W36" s="1367"/>
      <c r="X36" s="1367"/>
      <c r="Y36" s="1367"/>
      <c r="Z36" s="1367"/>
      <c r="AA36" s="1370"/>
    </row>
    <row r="37" spans="1:27">
      <c r="A37" s="1401"/>
      <c r="B37" s="1411"/>
      <c r="C37" s="1411"/>
      <c r="D37" s="1411"/>
      <c r="E37" s="1411"/>
      <c r="F37" s="1411"/>
      <c r="G37" s="1411"/>
      <c r="H37" s="1411"/>
      <c r="I37" s="1411"/>
      <c r="J37" s="1410"/>
      <c r="K37" s="1375"/>
      <c r="L37" s="1372">
        <v>227468</v>
      </c>
      <c r="M37" s="1397"/>
      <c r="N37" s="1367"/>
      <c r="O37" s="1375"/>
      <c r="P37" s="1367"/>
      <c r="Q37" s="1367"/>
      <c r="R37" s="1367"/>
      <c r="S37" s="1367"/>
      <c r="T37" s="1367"/>
      <c r="U37" s="1367"/>
      <c r="V37" s="1367"/>
      <c r="W37" s="1367"/>
      <c r="X37" s="1367"/>
      <c r="Y37" s="1367"/>
      <c r="Z37" s="1367"/>
      <c r="AA37" s="1370"/>
    </row>
    <row r="38" spans="1:27">
      <c r="A38" s="1401"/>
      <c r="B38" s="1411"/>
      <c r="C38" s="1411"/>
      <c r="D38" s="1411"/>
      <c r="E38" s="1411"/>
      <c r="F38" s="1411"/>
      <c r="G38" s="1411"/>
      <c r="H38" s="1411"/>
      <c r="I38" s="1411"/>
      <c r="J38" s="1410"/>
      <c r="K38" s="1375"/>
      <c r="L38" s="1372"/>
      <c r="M38" s="1397"/>
      <c r="N38" s="1367"/>
      <c r="O38" s="1375"/>
      <c r="P38" s="1367"/>
      <c r="Q38" s="1367"/>
      <c r="R38" s="1367"/>
      <c r="S38" s="1367"/>
      <c r="T38" s="1367"/>
      <c r="U38" s="1367"/>
      <c r="V38" s="1367"/>
      <c r="W38" s="1367"/>
      <c r="X38" s="1367"/>
      <c r="Y38" s="1367"/>
      <c r="Z38" s="1367"/>
      <c r="AA38" s="1370"/>
    </row>
    <row r="39" spans="1:27">
      <c r="A39" s="1402"/>
      <c r="B39" s="1412" t="s">
        <v>188</v>
      </c>
      <c r="C39" s="1413"/>
      <c r="D39" s="1413"/>
      <c r="E39" s="1413"/>
      <c r="F39" s="1413"/>
      <c r="G39" s="1413"/>
      <c r="H39" s="1413"/>
      <c r="I39" s="1414"/>
      <c r="J39" s="1375"/>
      <c r="K39" s="1375"/>
      <c r="L39" s="1372"/>
      <c r="M39" s="1397"/>
      <c r="N39" s="1367"/>
      <c r="O39" s="1375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70"/>
    </row>
    <row r="40" spans="1:27">
      <c r="A40" s="1402"/>
      <c r="B40" s="1412"/>
      <c r="C40" s="1413"/>
      <c r="D40" s="1413"/>
      <c r="E40" s="1413"/>
      <c r="F40" s="1413"/>
      <c r="G40" s="1413"/>
      <c r="H40" s="1413"/>
      <c r="I40" s="1414"/>
      <c r="J40" s="1375"/>
      <c r="K40" s="1375"/>
      <c r="L40" s="1372"/>
      <c r="M40" s="1397"/>
      <c r="N40" s="1367"/>
      <c r="O40" s="1375"/>
      <c r="P40" s="1367"/>
      <c r="Q40" s="1367"/>
      <c r="R40" s="1367"/>
      <c r="S40" s="1367"/>
      <c r="T40" s="1367"/>
      <c r="U40" s="1367"/>
      <c r="V40" s="1367"/>
      <c r="W40" s="1367"/>
      <c r="X40" s="1367"/>
      <c r="Y40" s="1367"/>
      <c r="Z40" s="1367"/>
      <c r="AA40" s="1370"/>
    </row>
    <row r="41" spans="1:27">
      <c r="A41" s="1402"/>
      <c r="B41" s="1412"/>
      <c r="C41" s="1413"/>
      <c r="D41" s="1413"/>
      <c r="E41" s="1413"/>
      <c r="F41" s="1413"/>
      <c r="G41" s="1413"/>
      <c r="H41" s="1413"/>
      <c r="I41" s="1414"/>
      <c r="J41" s="1375"/>
      <c r="K41" s="1375"/>
      <c r="L41" s="1372"/>
      <c r="M41" s="1397"/>
      <c r="N41" s="1367"/>
      <c r="O41" s="1375"/>
      <c r="P41" s="1367"/>
      <c r="Q41" s="1367"/>
      <c r="R41" s="1367"/>
      <c r="S41" s="1367"/>
      <c r="T41" s="1367"/>
      <c r="U41" s="1367"/>
      <c r="V41" s="1367"/>
      <c r="W41" s="1367"/>
      <c r="X41" s="1367"/>
      <c r="Y41" s="1367"/>
      <c r="Z41" s="1367"/>
      <c r="AA41" s="1370"/>
    </row>
    <row r="42" spans="1:27" ht="13.5" thickBot="1">
      <c r="A42" s="1403"/>
      <c r="B42" s="1415"/>
      <c r="C42" s="1416"/>
      <c r="D42" s="1416"/>
      <c r="E42" s="1416"/>
      <c r="F42" s="1416"/>
      <c r="G42" s="1416"/>
      <c r="H42" s="1416"/>
      <c r="I42" s="1417"/>
      <c r="J42" s="1376"/>
      <c r="K42" s="1376"/>
      <c r="L42" s="1373"/>
      <c r="M42" s="1398"/>
      <c r="N42" s="1368"/>
      <c r="O42" s="1376"/>
      <c r="P42" s="1368"/>
      <c r="Q42" s="1368"/>
      <c r="R42" s="1368"/>
      <c r="S42" s="1368"/>
      <c r="T42" s="1368"/>
      <c r="U42" s="1368"/>
      <c r="V42" s="1368"/>
      <c r="W42" s="1368"/>
      <c r="X42" s="1368"/>
      <c r="Y42" s="1368"/>
      <c r="Z42" s="1368"/>
      <c r="AA42" s="1371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399">
        <v>3</v>
      </c>
      <c r="B44" s="1404" t="s">
        <v>106</v>
      </c>
      <c r="C44" s="1405"/>
      <c r="D44" s="1405">
        <v>757</v>
      </c>
      <c r="E44" s="1405"/>
      <c r="F44" s="1408" t="s">
        <v>180</v>
      </c>
      <c r="G44" s="1408"/>
      <c r="H44" s="1408"/>
      <c r="I44" s="1408"/>
      <c r="J44" s="1394">
        <v>2008</v>
      </c>
      <c r="K44" s="1394">
        <v>2021</v>
      </c>
      <c r="L44" s="1390">
        <f>SUM(N44,L50)</f>
        <v>11667000</v>
      </c>
      <c r="M44" s="1392" t="s">
        <v>125</v>
      </c>
      <c r="N44" s="1377">
        <f>SUM(N48:N55)</f>
        <v>10228511</v>
      </c>
      <c r="O44" s="1394" t="s">
        <v>117</v>
      </c>
      <c r="P44" s="1377">
        <f t="shared" ref="P44:AA44" si="2">SUM(P48:P55)</f>
        <v>1022154</v>
      </c>
      <c r="Q44" s="1377">
        <f t="shared" si="2"/>
        <v>1022155</v>
      </c>
      <c r="R44" s="1377">
        <f t="shared" si="2"/>
        <v>1022155</v>
      </c>
      <c r="S44" s="1377">
        <f t="shared" si="2"/>
        <v>1022155</v>
      </c>
      <c r="T44" s="1377">
        <f t="shared" si="2"/>
        <v>1022155</v>
      </c>
      <c r="U44" s="1377">
        <f t="shared" si="2"/>
        <v>1022155</v>
      </c>
      <c r="V44" s="1377">
        <f t="shared" si="2"/>
        <v>1022155</v>
      </c>
      <c r="W44" s="1377">
        <f t="shared" si="2"/>
        <v>1022155</v>
      </c>
      <c r="X44" s="1377">
        <f t="shared" si="2"/>
        <v>1022155</v>
      </c>
      <c r="Y44" s="1377">
        <f>SUM(Y48:Y55)</f>
        <v>1029117</v>
      </c>
      <c r="Z44" s="1377">
        <f t="shared" si="2"/>
        <v>0</v>
      </c>
      <c r="AA44" s="1379">
        <f t="shared" si="2"/>
        <v>0</v>
      </c>
    </row>
    <row r="45" spans="1:27">
      <c r="A45" s="1400"/>
      <c r="B45" s="1406"/>
      <c r="C45" s="1407"/>
      <c r="D45" s="1407"/>
      <c r="E45" s="1407"/>
      <c r="F45" s="1409"/>
      <c r="G45" s="1409"/>
      <c r="H45" s="1409"/>
      <c r="I45" s="1409"/>
      <c r="J45" s="1375"/>
      <c r="K45" s="1375"/>
      <c r="L45" s="1391"/>
      <c r="M45" s="1393"/>
      <c r="N45" s="1378"/>
      <c r="O45" s="1375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80"/>
    </row>
    <row r="46" spans="1:27">
      <c r="A46" s="1400"/>
      <c r="B46" s="1418" t="s">
        <v>112</v>
      </c>
      <c r="C46" s="1419"/>
      <c r="D46" s="1419">
        <v>75704</v>
      </c>
      <c r="E46" s="1419"/>
      <c r="F46" s="1409" t="s">
        <v>181</v>
      </c>
      <c r="G46" s="1409"/>
      <c r="H46" s="1409"/>
      <c r="I46" s="1409"/>
      <c r="J46" s="1375"/>
      <c r="K46" s="1375"/>
      <c r="L46" s="1391"/>
      <c r="M46" s="1393"/>
      <c r="N46" s="1378"/>
      <c r="O46" s="1375"/>
      <c r="P46" s="1378"/>
      <c r="Q46" s="1378"/>
      <c r="R46" s="1378"/>
      <c r="S46" s="1378"/>
      <c r="T46" s="1378"/>
      <c r="U46" s="1378"/>
      <c r="V46" s="1378"/>
      <c r="W46" s="1378"/>
      <c r="X46" s="1378"/>
      <c r="Y46" s="1378"/>
      <c r="Z46" s="1378"/>
      <c r="AA46" s="1380"/>
    </row>
    <row r="47" spans="1:27">
      <c r="A47" s="1400"/>
      <c r="B47" s="1420"/>
      <c r="C47" s="1374"/>
      <c r="D47" s="1374"/>
      <c r="E47" s="1374"/>
      <c r="F47" s="1409"/>
      <c r="G47" s="1409"/>
      <c r="H47" s="1409"/>
      <c r="I47" s="1409"/>
      <c r="J47" s="1375"/>
      <c r="K47" s="1375"/>
      <c r="L47" s="1391"/>
      <c r="M47" s="1393"/>
      <c r="N47" s="1378"/>
      <c r="O47" s="1395"/>
      <c r="P47" s="1378"/>
      <c r="Q47" s="1378"/>
      <c r="R47" s="1378"/>
      <c r="S47" s="1378"/>
      <c r="T47" s="1378"/>
      <c r="U47" s="1378"/>
      <c r="V47" s="1378"/>
      <c r="W47" s="1378"/>
      <c r="X47" s="1378"/>
      <c r="Y47" s="1378"/>
      <c r="Z47" s="1378"/>
      <c r="AA47" s="1380"/>
    </row>
    <row r="48" spans="1:27">
      <c r="A48" s="1401"/>
      <c r="B48" s="1411" t="s">
        <v>189</v>
      </c>
      <c r="C48" s="1411"/>
      <c r="D48" s="1411"/>
      <c r="E48" s="1411"/>
      <c r="F48" s="1411"/>
      <c r="G48" s="1411"/>
      <c r="H48" s="1411"/>
      <c r="I48" s="1411"/>
      <c r="J48" s="1410"/>
      <c r="K48" s="1375"/>
      <c r="L48" s="1391"/>
      <c r="M48" s="1396">
        <v>75704</v>
      </c>
      <c r="N48" s="1366">
        <f>SUM(P48:Z55)</f>
        <v>10228511</v>
      </c>
      <c r="O48" s="1374" t="s">
        <v>117</v>
      </c>
      <c r="P48" s="1366">
        <v>1022154</v>
      </c>
      <c r="Q48" s="1366">
        <v>1022155</v>
      </c>
      <c r="R48" s="1366">
        <v>1022155</v>
      </c>
      <c r="S48" s="1366">
        <v>1022155</v>
      </c>
      <c r="T48" s="1366">
        <v>1022155</v>
      </c>
      <c r="U48" s="1366">
        <v>1022155</v>
      </c>
      <c r="V48" s="1366">
        <v>1022155</v>
      </c>
      <c r="W48" s="1366">
        <v>1022155</v>
      </c>
      <c r="X48" s="1366">
        <v>1022155</v>
      </c>
      <c r="Y48" s="1366">
        <v>1029117</v>
      </c>
      <c r="Z48" s="1366">
        <v>0</v>
      </c>
      <c r="AA48" s="1369">
        <v>0</v>
      </c>
    </row>
    <row r="49" spans="1:27">
      <c r="A49" s="1401"/>
      <c r="B49" s="1411"/>
      <c r="C49" s="1411"/>
      <c r="D49" s="1411"/>
      <c r="E49" s="1411"/>
      <c r="F49" s="1411"/>
      <c r="G49" s="1411"/>
      <c r="H49" s="1411"/>
      <c r="I49" s="1411"/>
      <c r="J49" s="1410"/>
      <c r="K49" s="1375"/>
      <c r="L49" s="1391"/>
      <c r="M49" s="1397"/>
      <c r="N49" s="1367"/>
      <c r="O49" s="1375"/>
      <c r="P49" s="1367"/>
      <c r="Q49" s="1367"/>
      <c r="R49" s="1367"/>
      <c r="S49" s="1367"/>
      <c r="T49" s="1367"/>
      <c r="U49" s="1367"/>
      <c r="V49" s="1367"/>
      <c r="W49" s="1367"/>
      <c r="X49" s="1367"/>
      <c r="Y49" s="1367"/>
      <c r="Z49" s="1367"/>
      <c r="AA49" s="1370"/>
    </row>
    <row r="50" spans="1:27">
      <c r="A50" s="1401"/>
      <c r="B50" s="1411"/>
      <c r="C50" s="1411"/>
      <c r="D50" s="1411"/>
      <c r="E50" s="1411"/>
      <c r="F50" s="1411"/>
      <c r="G50" s="1411"/>
      <c r="H50" s="1411"/>
      <c r="I50" s="1411"/>
      <c r="J50" s="1410"/>
      <c r="K50" s="1375"/>
      <c r="L50" s="1372">
        <v>1438489</v>
      </c>
      <c r="M50" s="1397"/>
      <c r="N50" s="1367"/>
      <c r="O50" s="1375"/>
      <c r="P50" s="1367"/>
      <c r="Q50" s="1367"/>
      <c r="R50" s="1367"/>
      <c r="S50" s="1367"/>
      <c r="T50" s="1367"/>
      <c r="U50" s="1367"/>
      <c r="V50" s="1367"/>
      <c r="W50" s="1367"/>
      <c r="X50" s="1367"/>
      <c r="Y50" s="1367"/>
      <c r="Z50" s="1367"/>
      <c r="AA50" s="1370"/>
    </row>
    <row r="51" spans="1:27">
      <c r="A51" s="1401"/>
      <c r="B51" s="1411"/>
      <c r="C51" s="1411"/>
      <c r="D51" s="1411"/>
      <c r="E51" s="1411"/>
      <c r="F51" s="1411"/>
      <c r="G51" s="1411"/>
      <c r="H51" s="1411"/>
      <c r="I51" s="1411"/>
      <c r="J51" s="1410"/>
      <c r="K51" s="1375"/>
      <c r="L51" s="1372"/>
      <c r="M51" s="1397"/>
      <c r="N51" s="1367"/>
      <c r="O51" s="1375"/>
      <c r="P51" s="1367"/>
      <c r="Q51" s="1367"/>
      <c r="R51" s="1367"/>
      <c r="S51" s="1367"/>
      <c r="T51" s="1367"/>
      <c r="U51" s="1367"/>
      <c r="V51" s="1367"/>
      <c r="W51" s="1367"/>
      <c r="X51" s="1367"/>
      <c r="Y51" s="1367"/>
      <c r="Z51" s="1367"/>
      <c r="AA51" s="1370"/>
    </row>
    <row r="52" spans="1:27">
      <c r="A52" s="1402"/>
      <c r="B52" s="1412" t="s">
        <v>190</v>
      </c>
      <c r="C52" s="1413"/>
      <c r="D52" s="1413"/>
      <c r="E52" s="1413"/>
      <c r="F52" s="1413"/>
      <c r="G52" s="1413"/>
      <c r="H52" s="1413"/>
      <c r="I52" s="1414"/>
      <c r="J52" s="1375"/>
      <c r="K52" s="1375"/>
      <c r="L52" s="1372"/>
      <c r="M52" s="1397"/>
      <c r="N52" s="1367"/>
      <c r="O52" s="1375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70"/>
    </row>
    <row r="53" spans="1:27">
      <c r="A53" s="1402"/>
      <c r="B53" s="1412"/>
      <c r="C53" s="1413"/>
      <c r="D53" s="1413"/>
      <c r="E53" s="1413"/>
      <c r="F53" s="1413"/>
      <c r="G53" s="1413"/>
      <c r="H53" s="1413"/>
      <c r="I53" s="1414"/>
      <c r="J53" s="1375"/>
      <c r="K53" s="1375"/>
      <c r="L53" s="1372"/>
      <c r="M53" s="1397"/>
      <c r="N53" s="1367"/>
      <c r="O53" s="1375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70"/>
    </row>
    <row r="54" spans="1:27">
      <c r="A54" s="1402"/>
      <c r="B54" s="1412"/>
      <c r="C54" s="1413"/>
      <c r="D54" s="1413"/>
      <c r="E54" s="1413"/>
      <c r="F54" s="1413"/>
      <c r="G54" s="1413"/>
      <c r="H54" s="1413"/>
      <c r="I54" s="1414"/>
      <c r="J54" s="1375"/>
      <c r="K54" s="1375"/>
      <c r="L54" s="1372"/>
      <c r="M54" s="1397"/>
      <c r="N54" s="1367"/>
      <c r="O54" s="1375"/>
      <c r="P54" s="1367"/>
      <c r="Q54" s="1367"/>
      <c r="R54" s="1367"/>
      <c r="S54" s="1367"/>
      <c r="T54" s="1367"/>
      <c r="U54" s="1367"/>
      <c r="V54" s="1367"/>
      <c r="W54" s="1367"/>
      <c r="X54" s="1367"/>
      <c r="Y54" s="1367"/>
      <c r="Z54" s="1367"/>
      <c r="AA54" s="1370"/>
    </row>
    <row r="55" spans="1:27" ht="13.5" thickBot="1">
      <c r="A55" s="1403"/>
      <c r="B55" s="1415"/>
      <c r="C55" s="1416"/>
      <c r="D55" s="1416"/>
      <c r="E55" s="1416"/>
      <c r="F55" s="1416"/>
      <c r="G55" s="1416"/>
      <c r="H55" s="1416"/>
      <c r="I55" s="1417"/>
      <c r="J55" s="1376"/>
      <c r="K55" s="1376"/>
      <c r="L55" s="1373"/>
      <c r="M55" s="1398"/>
      <c r="N55" s="1368"/>
      <c r="O55" s="1376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71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399">
        <v>4</v>
      </c>
      <c r="B57" s="1404" t="s">
        <v>106</v>
      </c>
      <c r="C57" s="1405"/>
      <c r="D57" s="1405">
        <v>757</v>
      </c>
      <c r="E57" s="1405"/>
      <c r="F57" s="1408" t="s">
        <v>180</v>
      </c>
      <c r="G57" s="1408"/>
      <c r="H57" s="1408"/>
      <c r="I57" s="1408"/>
      <c r="J57" s="1394">
        <v>2009</v>
      </c>
      <c r="K57" s="1394">
        <v>2017</v>
      </c>
      <c r="L57" s="1390">
        <f>SUM(N57,L63)</f>
        <v>7723984.0800000001</v>
      </c>
      <c r="M57" s="1392" t="s">
        <v>125</v>
      </c>
      <c r="N57" s="1377">
        <f>SUM(N61:N68)</f>
        <v>7003571.0800000001</v>
      </c>
      <c r="O57" s="1394" t="s">
        <v>117</v>
      </c>
      <c r="P57" s="1377">
        <f t="shared" ref="P57:AA57" si="3">SUM(P61:P68)</f>
        <v>1448659.19</v>
      </c>
      <c r="Q57" s="1377">
        <f t="shared" si="3"/>
        <v>1377513.52</v>
      </c>
      <c r="R57" s="1377">
        <f t="shared" si="3"/>
        <v>1273517.3400000001</v>
      </c>
      <c r="S57" s="1377">
        <f t="shared" si="3"/>
        <v>1212370.45</v>
      </c>
      <c r="T57" s="1377">
        <f t="shared" si="3"/>
        <v>1133486.48</v>
      </c>
      <c r="U57" s="1377">
        <f t="shared" si="3"/>
        <v>558024.1</v>
      </c>
      <c r="V57" s="1377">
        <f t="shared" si="3"/>
        <v>0</v>
      </c>
      <c r="W57" s="1377">
        <f t="shared" si="3"/>
        <v>0</v>
      </c>
      <c r="X57" s="1377">
        <f t="shared" si="3"/>
        <v>0</v>
      </c>
      <c r="Y57" s="1377">
        <f t="shared" si="3"/>
        <v>0</v>
      </c>
      <c r="Z57" s="1377">
        <f t="shared" si="3"/>
        <v>0</v>
      </c>
      <c r="AA57" s="1379">
        <f t="shared" si="3"/>
        <v>0</v>
      </c>
    </row>
    <row r="58" spans="1:27">
      <c r="A58" s="1400"/>
      <c r="B58" s="1406"/>
      <c r="C58" s="1407"/>
      <c r="D58" s="1407"/>
      <c r="E58" s="1407"/>
      <c r="F58" s="1409"/>
      <c r="G58" s="1409"/>
      <c r="H58" s="1409"/>
      <c r="I58" s="1409"/>
      <c r="J58" s="1375"/>
      <c r="K58" s="1375"/>
      <c r="L58" s="1391"/>
      <c r="M58" s="1393"/>
      <c r="N58" s="1378"/>
      <c r="O58" s="1375"/>
      <c r="P58" s="1378"/>
      <c r="Q58" s="1378"/>
      <c r="R58" s="1378"/>
      <c r="S58" s="1378"/>
      <c r="T58" s="1378"/>
      <c r="U58" s="1378"/>
      <c r="V58" s="1378"/>
      <c r="W58" s="1378"/>
      <c r="X58" s="1378"/>
      <c r="Y58" s="1378"/>
      <c r="Z58" s="1378"/>
      <c r="AA58" s="1380"/>
    </row>
    <row r="59" spans="1:27">
      <c r="A59" s="1400"/>
      <c r="B59" s="1418" t="s">
        <v>112</v>
      </c>
      <c r="C59" s="1419"/>
      <c r="D59" s="1419">
        <v>75704</v>
      </c>
      <c r="E59" s="1419"/>
      <c r="F59" s="1409" t="s">
        <v>181</v>
      </c>
      <c r="G59" s="1409"/>
      <c r="H59" s="1409"/>
      <c r="I59" s="1409"/>
      <c r="J59" s="1375"/>
      <c r="K59" s="1375"/>
      <c r="L59" s="1391"/>
      <c r="M59" s="1393"/>
      <c r="N59" s="1378"/>
      <c r="O59" s="1375"/>
      <c r="P59" s="1378"/>
      <c r="Q59" s="1378"/>
      <c r="R59" s="1378"/>
      <c r="S59" s="1378"/>
      <c r="T59" s="1378"/>
      <c r="U59" s="1378"/>
      <c r="V59" s="1378"/>
      <c r="W59" s="1378"/>
      <c r="X59" s="1378"/>
      <c r="Y59" s="1378"/>
      <c r="Z59" s="1378"/>
      <c r="AA59" s="1380"/>
    </row>
    <row r="60" spans="1:27">
      <c r="A60" s="1400"/>
      <c r="B60" s="1420"/>
      <c r="C60" s="1374"/>
      <c r="D60" s="1374"/>
      <c r="E60" s="1374"/>
      <c r="F60" s="1409"/>
      <c r="G60" s="1409"/>
      <c r="H60" s="1409"/>
      <c r="I60" s="1409"/>
      <c r="J60" s="1375"/>
      <c r="K60" s="1375"/>
      <c r="L60" s="1391"/>
      <c r="M60" s="1393"/>
      <c r="N60" s="1378"/>
      <c r="O60" s="1395"/>
      <c r="P60" s="1378"/>
      <c r="Q60" s="1378"/>
      <c r="R60" s="1378"/>
      <c r="S60" s="1378"/>
      <c r="T60" s="1378"/>
      <c r="U60" s="1378"/>
      <c r="V60" s="1378"/>
      <c r="W60" s="1378"/>
      <c r="X60" s="1378"/>
      <c r="Y60" s="1378"/>
      <c r="Z60" s="1378"/>
      <c r="AA60" s="1380"/>
    </row>
    <row r="61" spans="1:27">
      <c r="A61" s="1401"/>
      <c r="B61" s="1411" t="s">
        <v>191</v>
      </c>
      <c r="C61" s="1411"/>
      <c r="D61" s="1411"/>
      <c r="E61" s="1411"/>
      <c r="F61" s="1411"/>
      <c r="G61" s="1411"/>
      <c r="H61" s="1411"/>
      <c r="I61" s="1411"/>
      <c r="J61" s="1410"/>
      <c r="K61" s="1375"/>
      <c r="L61" s="1391"/>
      <c r="M61" s="1396">
        <v>75704</v>
      </c>
      <c r="N61" s="26" t="s">
        <v>183</v>
      </c>
      <c r="O61" s="1374" t="s">
        <v>117</v>
      </c>
      <c r="P61" s="1366">
        <v>999996</v>
      </c>
      <c r="Q61" s="1366">
        <v>999996</v>
      </c>
      <c r="R61" s="1366">
        <v>999996</v>
      </c>
      <c r="S61" s="1366">
        <v>999996</v>
      </c>
      <c r="T61" s="1366">
        <v>999996</v>
      </c>
      <c r="U61" s="1366">
        <v>479997</v>
      </c>
      <c r="V61" s="1366"/>
      <c r="W61" s="1366"/>
      <c r="X61" s="1366"/>
      <c r="Y61" s="1366"/>
      <c r="Z61" s="1366"/>
      <c r="AA61" s="1369">
        <v>0</v>
      </c>
    </row>
    <row r="62" spans="1:27">
      <c r="A62" s="1401"/>
      <c r="B62" s="1411"/>
      <c r="C62" s="1411"/>
      <c r="D62" s="1411"/>
      <c r="E62" s="1411"/>
      <c r="F62" s="1411"/>
      <c r="G62" s="1411"/>
      <c r="H62" s="1411"/>
      <c r="I62" s="1411"/>
      <c r="J62" s="1410"/>
      <c r="K62" s="1375"/>
      <c r="L62" s="1391"/>
      <c r="M62" s="1397"/>
      <c r="N62" s="1367">
        <f>SUM(P61:Z65)</f>
        <v>5479977</v>
      </c>
      <c r="O62" s="1375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70"/>
    </row>
    <row r="63" spans="1:27">
      <c r="A63" s="1401"/>
      <c r="B63" s="1411"/>
      <c r="C63" s="1411"/>
      <c r="D63" s="1411"/>
      <c r="E63" s="1411"/>
      <c r="F63" s="1411"/>
      <c r="G63" s="1411"/>
      <c r="H63" s="1411"/>
      <c r="I63" s="1411"/>
      <c r="J63" s="1410"/>
      <c r="K63" s="1375"/>
      <c r="L63" s="1372">
        <v>720413</v>
      </c>
      <c r="M63" s="1397"/>
      <c r="N63" s="1367"/>
      <c r="O63" s="1375"/>
      <c r="P63" s="1367"/>
      <c r="Q63" s="1367"/>
      <c r="R63" s="1367"/>
      <c r="S63" s="1367"/>
      <c r="T63" s="1367"/>
      <c r="U63" s="1367"/>
      <c r="V63" s="1367"/>
      <c r="W63" s="1367"/>
      <c r="X63" s="1367"/>
      <c r="Y63" s="1367"/>
      <c r="Z63" s="1367"/>
      <c r="AA63" s="1370"/>
    </row>
    <row r="64" spans="1:27">
      <c r="A64" s="1401"/>
      <c r="B64" s="1411"/>
      <c r="C64" s="1411"/>
      <c r="D64" s="1411"/>
      <c r="E64" s="1411"/>
      <c r="F64" s="1411"/>
      <c r="G64" s="1411"/>
      <c r="H64" s="1411"/>
      <c r="I64" s="1411"/>
      <c r="J64" s="1410"/>
      <c r="K64" s="1375"/>
      <c r="L64" s="1372"/>
      <c r="M64" s="1397"/>
      <c r="N64" s="1367"/>
      <c r="O64" s="1375"/>
      <c r="P64" s="1367"/>
      <c r="Q64" s="1367"/>
      <c r="R64" s="1367"/>
      <c r="S64" s="1367"/>
      <c r="T64" s="1367"/>
      <c r="U64" s="1367"/>
      <c r="V64" s="1367"/>
      <c r="W64" s="1367"/>
      <c r="X64" s="1367"/>
      <c r="Y64" s="1367"/>
      <c r="Z64" s="1367"/>
      <c r="AA64" s="1370"/>
    </row>
    <row r="65" spans="1:27">
      <c r="A65" s="1402"/>
      <c r="B65" s="1412" t="s">
        <v>184</v>
      </c>
      <c r="C65" s="1413"/>
      <c r="D65" s="1413"/>
      <c r="E65" s="1413"/>
      <c r="F65" s="1413"/>
      <c r="G65" s="1413"/>
      <c r="H65" s="1413"/>
      <c r="I65" s="1414"/>
      <c r="J65" s="1375"/>
      <c r="K65" s="1375"/>
      <c r="L65" s="1372"/>
      <c r="M65" s="1397"/>
      <c r="N65" s="1422"/>
      <c r="O65" s="1375"/>
      <c r="P65" s="1421"/>
      <c r="Q65" s="1421"/>
      <c r="R65" s="1421"/>
      <c r="S65" s="1421"/>
      <c r="T65" s="1421"/>
      <c r="U65" s="1421"/>
      <c r="V65" s="1421"/>
      <c r="W65" s="1421"/>
      <c r="X65" s="1421"/>
      <c r="Y65" s="1421"/>
      <c r="Z65" s="1421"/>
      <c r="AA65" s="1370"/>
    </row>
    <row r="66" spans="1:27">
      <c r="A66" s="1402"/>
      <c r="B66" s="1412"/>
      <c r="C66" s="1413"/>
      <c r="D66" s="1413"/>
      <c r="E66" s="1413"/>
      <c r="F66" s="1413"/>
      <c r="G66" s="1413"/>
      <c r="H66" s="1413"/>
      <c r="I66" s="1414"/>
      <c r="J66" s="1375"/>
      <c r="K66" s="1375"/>
      <c r="L66" s="1372"/>
      <c r="M66" s="1397"/>
      <c r="N66" s="27" t="s">
        <v>192</v>
      </c>
      <c r="O66" s="1375"/>
      <c r="P66" s="1423">
        <v>448663.19</v>
      </c>
      <c r="Q66" s="1367">
        <v>377517.52</v>
      </c>
      <c r="R66" s="1423">
        <v>273521.34000000003</v>
      </c>
      <c r="S66" s="1367">
        <v>212374.45</v>
      </c>
      <c r="T66" s="1367">
        <v>133490.48000000001</v>
      </c>
      <c r="U66" s="1367">
        <v>78027.100000000006</v>
      </c>
      <c r="V66" s="1423"/>
      <c r="W66" s="1423"/>
      <c r="X66" s="1423"/>
      <c r="Y66" s="1423"/>
      <c r="Z66" s="1423"/>
      <c r="AA66" s="1370"/>
    </row>
    <row r="67" spans="1:27">
      <c r="A67" s="1402"/>
      <c r="B67" s="1412"/>
      <c r="C67" s="1413"/>
      <c r="D67" s="1413"/>
      <c r="E67" s="1413"/>
      <c r="F67" s="1413"/>
      <c r="G67" s="1413"/>
      <c r="H67" s="1413"/>
      <c r="I67" s="1414"/>
      <c r="J67" s="1375"/>
      <c r="K67" s="1375"/>
      <c r="L67" s="1372"/>
      <c r="M67" s="1397"/>
      <c r="N67" s="1367">
        <f>SUM(P66:Z68)</f>
        <v>1523594.08</v>
      </c>
      <c r="O67" s="1375"/>
      <c r="P67" s="1367"/>
      <c r="Q67" s="1367"/>
      <c r="R67" s="1367"/>
      <c r="S67" s="1367"/>
      <c r="T67" s="1367"/>
      <c r="U67" s="1367"/>
      <c r="V67" s="1367"/>
      <c r="W67" s="1367"/>
      <c r="X67" s="1367"/>
      <c r="Y67" s="1367"/>
      <c r="Z67" s="1367"/>
      <c r="AA67" s="1370"/>
    </row>
    <row r="68" spans="1:27" ht="13.5" thickBot="1">
      <c r="A68" s="1403"/>
      <c r="B68" s="1415"/>
      <c r="C68" s="1416"/>
      <c r="D68" s="1416"/>
      <c r="E68" s="1416"/>
      <c r="F68" s="1416"/>
      <c r="G68" s="1416"/>
      <c r="H68" s="1416"/>
      <c r="I68" s="1417"/>
      <c r="J68" s="1376"/>
      <c r="K68" s="1376"/>
      <c r="L68" s="1373"/>
      <c r="M68" s="1398"/>
      <c r="N68" s="1368"/>
      <c r="O68" s="1376"/>
      <c r="P68" s="1368"/>
      <c r="Q68" s="1368"/>
      <c r="R68" s="1368"/>
      <c r="S68" s="1368"/>
      <c r="T68" s="1368"/>
      <c r="U68" s="1368"/>
      <c r="V68" s="1368"/>
      <c r="W68" s="1368"/>
      <c r="X68" s="1368"/>
      <c r="Y68" s="1368"/>
      <c r="Z68" s="1368"/>
      <c r="AA68" s="1371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399">
        <v>5</v>
      </c>
      <c r="B70" s="1404" t="s">
        <v>106</v>
      </c>
      <c r="C70" s="1405"/>
      <c r="D70" s="1405">
        <v>757</v>
      </c>
      <c r="E70" s="1405"/>
      <c r="F70" s="1408" t="s">
        <v>180</v>
      </c>
      <c r="G70" s="1408"/>
      <c r="H70" s="1408"/>
      <c r="I70" s="1408"/>
      <c r="J70" s="1394">
        <v>2010</v>
      </c>
      <c r="K70" s="1394">
        <v>2020</v>
      </c>
      <c r="L70" s="1390">
        <f>SUM(N70,L76)</f>
        <v>5589677</v>
      </c>
      <c r="M70" s="1392" t="s">
        <v>125</v>
      </c>
      <c r="N70" s="1377">
        <f>SUM(N74:N81)</f>
        <v>5434417</v>
      </c>
      <c r="O70" s="1394" t="s">
        <v>117</v>
      </c>
      <c r="P70" s="1377">
        <f t="shared" ref="P70:AA70" si="4">SUM(P74:P81)</f>
        <v>621040</v>
      </c>
      <c r="Q70" s="1377">
        <f t="shared" si="4"/>
        <v>621040</v>
      </c>
      <c r="R70" s="1377">
        <f t="shared" si="4"/>
        <v>621040</v>
      </c>
      <c r="S70" s="1377">
        <f t="shared" si="4"/>
        <v>621040</v>
      </c>
      <c r="T70" s="1377">
        <f t="shared" si="4"/>
        <v>621040</v>
      </c>
      <c r="U70" s="1377">
        <f t="shared" si="4"/>
        <v>621040</v>
      </c>
      <c r="V70" s="1377">
        <f t="shared" si="4"/>
        <v>621040</v>
      </c>
      <c r="W70" s="1377">
        <f t="shared" si="4"/>
        <v>621040</v>
      </c>
      <c r="X70" s="1377">
        <f t="shared" si="4"/>
        <v>466097</v>
      </c>
      <c r="Y70" s="1377">
        <f t="shared" si="4"/>
        <v>0</v>
      </c>
      <c r="Z70" s="1377">
        <f t="shared" si="4"/>
        <v>0</v>
      </c>
      <c r="AA70" s="1379">
        <f t="shared" si="4"/>
        <v>0</v>
      </c>
    </row>
    <row r="71" spans="1:27">
      <c r="A71" s="1400"/>
      <c r="B71" s="1406"/>
      <c r="C71" s="1407"/>
      <c r="D71" s="1407"/>
      <c r="E71" s="1407"/>
      <c r="F71" s="1409"/>
      <c r="G71" s="1409"/>
      <c r="H71" s="1409"/>
      <c r="I71" s="1409"/>
      <c r="J71" s="1375"/>
      <c r="K71" s="1375"/>
      <c r="L71" s="1391"/>
      <c r="M71" s="1393"/>
      <c r="N71" s="1378"/>
      <c r="O71" s="1375"/>
      <c r="P71" s="1378"/>
      <c r="Q71" s="1378"/>
      <c r="R71" s="1378"/>
      <c r="S71" s="1378"/>
      <c r="T71" s="1378"/>
      <c r="U71" s="1378"/>
      <c r="V71" s="1378"/>
      <c r="W71" s="1378"/>
      <c r="X71" s="1378"/>
      <c r="Y71" s="1378"/>
      <c r="Z71" s="1378"/>
      <c r="AA71" s="1380"/>
    </row>
    <row r="72" spans="1:27">
      <c r="A72" s="1400"/>
      <c r="B72" s="1418" t="s">
        <v>112</v>
      </c>
      <c r="C72" s="1419"/>
      <c r="D72" s="1419">
        <v>75704</v>
      </c>
      <c r="E72" s="1419"/>
      <c r="F72" s="1409" t="s">
        <v>181</v>
      </c>
      <c r="G72" s="1409"/>
      <c r="H72" s="1409"/>
      <c r="I72" s="1409"/>
      <c r="J72" s="1375"/>
      <c r="K72" s="1375"/>
      <c r="L72" s="1391"/>
      <c r="M72" s="1393"/>
      <c r="N72" s="1378"/>
      <c r="O72" s="1375"/>
      <c r="P72" s="1378"/>
      <c r="Q72" s="1378"/>
      <c r="R72" s="1378"/>
      <c r="S72" s="1378"/>
      <c r="T72" s="1378"/>
      <c r="U72" s="1378"/>
      <c r="V72" s="1378"/>
      <c r="W72" s="1378"/>
      <c r="X72" s="1378"/>
      <c r="Y72" s="1378"/>
      <c r="Z72" s="1378"/>
      <c r="AA72" s="1380"/>
    </row>
    <row r="73" spans="1:27">
      <c r="A73" s="1400"/>
      <c r="B73" s="1420"/>
      <c r="C73" s="1374"/>
      <c r="D73" s="1374"/>
      <c r="E73" s="1374"/>
      <c r="F73" s="1409"/>
      <c r="G73" s="1409"/>
      <c r="H73" s="1409"/>
      <c r="I73" s="1409"/>
      <c r="J73" s="1375"/>
      <c r="K73" s="1375"/>
      <c r="L73" s="1391"/>
      <c r="M73" s="1393"/>
      <c r="N73" s="1378"/>
      <c r="O73" s="1395"/>
      <c r="P73" s="1378"/>
      <c r="Q73" s="1378"/>
      <c r="R73" s="1378"/>
      <c r="S73" s="1378"/>
      <c r="T73" s="1378"/>
      <c r="U73" s="1378"/>
      <c r="V73" s="1378"/>
      <c r="W73" s="1378"/>
      <c r="X73" s="1378"/>
      <c r="Y73" s="1378"/>
      <c r="Z73" s="1378"/>
      <c r="AA73" s="1380"/>
    </row>
    <row r="74" spans="1:27">
      <c r="A74" s="1401"/>
      <c r="B74" s="1411" t="s">
        <v>193</v>
      </c>
      <c r="C74" s="1411"/>
      <c r="D74" s="1411"/>
      <c r="E74" s="1411"/>
      <c r="F74" s="1411"/>
      <c r="G74" s="1411"/>
      <c r="H74" s="1411"/>
      <c r="I74" s="1411"/>
      <c r="J74" s="1410"/>
      <c r="K74" s="1375"/>
      <c r="L74" s="1391"/>
      <c r="M74" s="1396">
        <v>75704</v>
      </c>
      <c r="N74" s="1366">
        <f>SUM(P74:Z81)</f>
        <v>5434417</v>
      </c>
      <c r="O74" s="1374" t="s">
        <v>117</v>
      </c>
      <c r="P74" s="1366">
        <v>621040</v>
      </c>
      <c r="Q74" s="1366">
        <v>621040</v>
      </c>
      <c r="R74" s="1366">
        <v>621040</v>
      </c>
      <c r="S74" s="1366">
        <v>621040</v>
      </c>
      <c r="T74" s="1366">
        <v>621040</v>
      </c>
      <c r="U74" s="1366">
        <v>621040</v>
      </c>
      <c r="V74" s="1366">
        <v>621040</v>
      </c>
      <c r="W74" s="1366">
        <v>621040</v>
      </c>
      <c r="X74" s="1366">
        <v>466097</v>
      </c>
      <c r="Y74" s="1366">
        <v>0</v>
      </c>
      <c r="Z74" s="1366">
        <v>0</v>
      </c>
      <c r="AA74" s="1369">
        <v>0</v>
      </c>
    </row>
    <row r="75" spans="1:27">
      <c r="A75" s="1401"/>
      <c r="B75" s="1411"/>
      <c r="C75" s="1411"/>
      <c r="D75" s="1411"/>
      <c r="E75" s="1411"/>
      <c r="F75" s="1411"/>
      <c r="G75" s="1411"/>
      <c r="H75" s="1411"/>
      <c r="I75" s="1411"/>
      <c r="J75" s="1410"/>
      <c r="K75" s="1375"/>
      <c r="L75" s="1391"/>
      <c r="M75" s="1397"/>
      <c r="N75" s="1367"/>
      <c r="O75" s="1375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70"/>
    </row>
    <row r="76" spans="1:27">
      <c r="A76" s="1401"/>
      <c r="B76" s="1411"/>
      <c r="C76" s="1411"/>
      <c r="D76" s="1411"/>
      <c r="E76" s="1411"/>
      <c r="F76" s="1411"/>
      <c r="G76" s="1411"/>
      <c r="H76" s="1411"/>
      <c r="I76" s="1411"/>
      <c r="J76" s="1410"/>
      <c r="K76" s="1375"/>
      <c r="L76" s="1372">
        <v>155260</v>
      </c>
      <c r="M76" s="1397"/>
      <c r="N76" s="1367"/>
      <c r="O76" s="1375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/>
      <c r="AA76" s="1370"/>
    </row>
    <row r="77" spans="1:27">
      <c r="A77" s="1401"/>
      <c r="B77" s="1411"/>
      <c r="C77" s="1411"/>
      <c r="D77" s="1411"/>
      <c r="E77" s="1411"/>
      <c r="F77" s="1411"/>
      <c r="G77" s="1411"/>
      <c r="H77" s="1411"/>
      <c r="I77" s="1411"/>
      <c r="J77" s="1410"/>
      <c r="K77" s="1375"/>
      <c r="L77" s="1372"/>
      <c r="M77" s="1397"/>
      <c r="N77" s="1367"/>
      <c r="O77" s="1375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70"/>
    </row>
    <row r="78" spans="1:27">
      <c r="A78" s="1402"/>
      <c r="B78" s="1412" t="s">
        <v>190</v>
      </c>
      <c r="C78" s="1413"/>
      <c r="D78" s="1413"/>
      <c r="E78" s="1413"/>
      <c r="F78" s="1413"/>
      <c r="G78" s="1413"/>
      <c r="H78" s="1413"/>
      <c r="I78" s="1414"/>
      <c r="J78" s="1375"/>
      <c r="K78" s="1375"/>
      <c r="L78" s="1372"/>
      <c r="M78" s="1397"/>
      <c r="N78" s="1367"/>
      <c r="O78" s="1375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70"/>
    </row>
    <row r="79" spans="1:27">
      <c r="A79" s="1402"/>
      <c r="B79" s="1412"/>
      <c r="C79" s="1413"/>
      <c r="D79" s="1413"/>
      <c r="E79" s="1413"/>
      <c r="F79" s="1413"/>
      <c r="G79" s="1413"/>
      <c r="H79" s="1413"/>
      <c r="I79" s="1414"/>
      <c r="J79" s="1375"/>
      <c r="K79" s="1375"/>
      <c r="L79" s="1372"/>
      <c r="M79" s="1397"/>
      <c r="N79" s="1367"/>
      <c r="O79" s="1375"/>
      <c r="P79" s="1367"/>
      <c r="Q79" s="1367"/>
      <c r="R79" s="1367"/>
      <c r="S79" s="1367"/>
      <c r="T79" s="1367"/>
      <c r="U79" s="1367"/>
      <c r="V79" s="1367"/>
      <c r="W79" s="1367"/>
      <c r="X79" s="1367"/>
      <c r="Y79" s="1367"/>
      <c r="Z79" s="1367"/>
      <c r="AA79" s="1370"/>
    </row>
    <row r="80" spans="1:27">
      <c r="A80" s="1402"/>
      <c r="B80" s="1412"/>
      <c r="C80" s="1413"/>
      <c r="D80" s="1413"/>
      <c r="E80" s="1413"/>
      <c r="F80" s="1413"/>
      <c r="G80" s="1413"/>
      <c r="H80" s="1413"/>
      <c r="I80" s="1414"/>
      <c r="J80" s="1375"/>
      <c r="K80" s="1375"/>
      <c r="L80" s="1372"/>
      <c r="M80" s="1397"/>
      <c r="N80" s="1367"/>
      <c r="O80" s="1375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70"/>
    </row>
    <row r="81" spans="1:27" ht="13.5" thickBot="1">
      <c r="A81" s="1403"/>
      <c r="B81" s="1415"/>
      <c r="C81" s="1416"/>
      <c r="D81" s="1416"/>
      <c r="E81" s="1416"/>
      <c r="F81" s="1416"/>
      <c r="G81" s="1416"/>
      <c r="H81" s="1416"/>
      <c r="I81" s="1417"/>
      <c r="J81" s="1376"/>
      <c r="K81" s="1376"/>
      <c r="L81" s="1373"/>
      <c r="M81" s="1398"/>
      <c r="N81" s="1368"/>
      <c r="O81" s="1376"/>
      <c r="P81" s="1368"/>
      <c r="Q81" s="1368"/>
      <c r="R81" s="1368"/>
      <c r="S81" s="1368"/>
      <c r="T81" s="1368"/>
      <c r="U81" s="1368"/>
      <c r="V81" s="1368"/>
      <c r="W81" s="1368"/>
      <c r="X81" s="1368"/>
      <c r="Y81" s="1368"/>
      <c r="Z81" s="1368"/>
      <c r="AA81" s="1371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399">
        <v>6</v>
      </c>
      <c r="B83" s="1404" t="s">
        <v>106</v>
      </c>
      <c r="C83" s="1405"/>
      <c r="D83" s="1405">
        <v>757</v>
      </c>
      <c r="E83" s="1405"/>
      <c r="F83" s="1408" t="s">
        <v>180</v>
      </c>
      <c r="G83" s="1408"/>
      <c r="H83" s="1408"/>
      <c r="I83" s="1408"/>
      <c r="J83" s="1394">
        <v>2010</v>
      </c>
      <c r="K83" s="1394">
        <v>2021</v>
      </c>
      <c r="L83" s="1390">
        <f>SUM(N83,L89)</f>
        <v>5333000</v>
      </c>
      <c r="M83" s="1392" t="s">
        <v>125</v>
      </c>
      <c r="N83" s="1377">
        <f>SUM(N87:N94)</f>
        <v>5333000</v>
      </c>
      <c r="O83" s="1394" t="s">
        <v>117</v>
      </c>
      <c r="P83" s="1377">
        <f t="shared" ref="P83:AA83" si="5">SUM(P87:P94)</f>
        <v>0</v>
      </c>
      <c r="Q83" s="1377">
        <f t="shared" si="5"/>
        <v>499969</v>
      </c>
      <c r="R83" s="1377">
        <f t="shared" si="5"/>
        <v>666625</v>
      </c>
      <c r="S83" s="1377">
        <f t="shared" si="5"/>
        <v>666625</v>
      </c>
      <c r="T83" s="1377">
        <f>SUM(T87:T94)</f>
        <v>666625</v>
      </c>
      <c r="U83" s="1377">
        <f t="shared" si="5"/>
        <v>666625</v>
      </c>
      <c r="V83" s="1377">
        <f t="shared" si="5"/>
        <v>666625</v>
      </c>
      <c r="W83" s="1377">
        <f t="shared" si="5"/>
        <v>666625</v>
      </c>
      <c r="X83" s="1377">
        <f t="shared" si="5"/>
        <v>666625</v>
      </c>
      <c r="Y83" s="1377">
        <f t="shared" si="5"/>
        <v>166656</v>
      </c>
      <c r="Z83" s="1377">
        <f t="shared" si="5"/>
        <v>0</v>
      </c>
      <c r="AA83" s="1379">
        <f t="shared" si="5"/>
        <v>0</v>
      </c>
    </row>
    <row r="84" spans="1:27">
      <c r="A84" s="1400"/>
      <c r="B84" s="1406"/>
      <c r="C84" s="1407"/>
      <c r="D84" s="1407"/>
      <c r="E84" s="1407"/>
      <c r="F84" s="1409"/>
      <c r="G84" s="1409"/>
      <c r="H84" s="1409"/>
      <c r="I84" s="1409"/>
      <c r="J84" s="1375"/>
      <c r="K84" s="1375"/>
      <c r="L84" s="1391"/>
      <c r="M84" s="1393"/>
      <c r="N84" s="1378"/>
      <c r="O84" s="1375"/>
      <c r="P84" s="1378"/>
      <c r="Q84" s="1378"/>
      <c r="R84" s="1378"/>
      <c r="S84" s="1378"/>
      <c r="T84" s="1378"/>
      <c r="U84" s="1378"/>
      <c r="V84" s="1378"/>
      <c r="W84" s="1378"/>
      <c r="X84" s="1378"/>
      <c r="Y84" s="1378"/>
      <c r="Z84" s="1378"/>
      <c r="AA84" s="1380"/>
    </row>
    <row r="85" spans="1:27">
      <c r="A85" s="1400"/>
      <c r="B85" s="1418" t="s">
        <v>112</v>
      </c>
      <c r="C85" s="1419"/>
      <c r="D85" s="1419">
        <v>75704</v>
      </c>
      <c r="E85" s="1419"/>
      <c r="F85" s="1409" t="s">
        <v>181</v>
      </c>
      <c r="G85" s="1409"/>
      <c r="H85" s="1409"/>
      <c r="I85" s="1409"/>
      <c r="J85" s="1375"/>
      <c r="K85" s="1375"/>
      <c r="L85" s="1391"/>
      <c r="M85" s="1393"/>
      <c r="N85" s="1378"/>
      <c r="O85" s="1375"/>
      <c r="P85" s="1378"/>
      <c r="Q85" s="1378"/>
      <c r="R85" s="1378"/>
      <c r="S85" s="1378"/>
      <c r="T85" s="1378"/>
      <c r="U85" s="1378"/>
      <c r="V85" s="1378"/>
      <c r="W85" s="1378"/>
      <c r="X85" s="1378"/>
      <c r="Y85" s="1378"/>
      <c r="Z85" s="1378"/>
      <c r="AA85" s="1380"/>
    </row>
    <row r="86" spans="1:27">
      <c r="A86" s="1400"/>
      <c r="B86" s="1420"/>
      <c r="C86" s="1374"/>
      <c r="D86" s="1374"/>
      <c r="E86" s="1374"/>
      <c r="F86" s="1409"/>
      <c r="G86" s="1409"/>
      <c r="H86" s="1409"/>
      <c r="I86" s="1409"/>
      <c r="J86" s="1375"/>
      <c r="K86" s="1375"/>
      <c r="L86" s="1391"/>
      <c r="M86" s="1393"/>
      <c r="N86" s="1378"/>
      <c r="O86" s="1395"/>
      <c r="P86" s="1378"/>
      <c r="Q86" s="1378"/>
      <c r="R86" s="1378"/>
      <c r="S86" s="1378"/>
      <c r="T86" s="1378"/>
      <c r="U86" s="1378"/>
      <c r="V86" s="1378"/>
      <c r="W86" s="1378"/>
      <c r="X86" s="1378"/>
      <c r="Y86" s="1378"/>
      <c r="Z86" s="1378"/>
      <c r="AA86" s="1380"/>
    </row>
    <row r="87" spans="1:27">
      <c r="A87" s="1401"/>
      <c r="B87" s="1411" t="s">
        <v>194</v>
      </c>
      <c r="C87" s="1411"/>
      <c r="D87" s="1411"/>
      <c r="E87" s="1411"/>
      <c r="F87" s="1411"/>
      <c r="G87" s="1411"/>
      <c r="H87" s="1411"/>
      <c r="I87" s="1411"/>
      <c r="J87" s="1410"/>
      <c r="K87" s="1375"/>
      <c r="L87" s="1391"/>
      <c r="M87" s="1396">
        <v>75704</v>
      </c>
      <c r="N87" s="1366">
        <f>SUM(P87:Z94)</f>
        <v>5333000</v>
      </c>
      <c r="O87" s="1374" t="s">
        <v>117</v>
      </c>
      <c r="P87" s="1366">
        <v>0</v>
      </c>
      <c r="Q87" s="1366">
        <v>499969</v>
      </c>
      <c r="R87" s="1366">
        <v>666625</v>
      </c>
      <c r="S87" s="1366">
        <v>666625</v>
      </c>
      <c r="T87" s="1366">
        <v>666625</v>
      </c>
      <c r="U87" s="1366">
        <v>666625</v>
      </c>
      <c r="V87" s="1366">
        <v>666625</v>
      </c>
      <c r="W87" s="1366">
        <v>666625</v>
      </c>
      <c r="X87" s="1366">
        <v>666625</v>
      </c>
      <c r="Y87" s="1366">
        <v>166656</v>
      </c>
      <c r="Z87" s="1366">
        <v>0</v>
      </c>
      <c r="AA87" s="1369">
        <v>0</v>
      </c>
    </row>
    <row r="88" spans="1:27">
      <c r="A88" s="1401"/>
      <c r="B88" s="1411"/>
      <c r="C88" s="1411"/>
      <c r="D88" s="1411"/>
      <c r="E88" s="1411"/>
      <c r="F88" s="1411"/>
      <c r="G88" s="1411"/>
      <c r="H88" s="1411"/>
      <c r="I88" s="1411"/>
      <c r="J88" s="1410"/>
      <c r="K88" s="1375"/>
      <c r="L88" s="1391"/>
      <c r="M88" s="1397"/>
      <c r="N88" s="1367"/>
      <c r="O88" s="1375"/>
      <c r="P88" s="1367"/>
      <c r="Q88" s="1367"/>
      <c r="R88" s="1367"/>
      <c r="S88" s="1367"/>
      <c r="T88" s="1367"/>
      <c r="U88" s="1367"/>
      <c r="V88" s="1367"/>
      <c r="W88" s="1367"/>
      <c r="X88" s="1367"/>
      <c r="Y88" s="1367"/>
      <c r="Z88" s="1367"/>
      <c r="AA88" s="1370"/>
    </row>
    <row r="89" spans="1:27">
      <c r="A89" s="1401"/>
      <c r="B89" s="1411"/>
      <c r="C89" s="1411"/>
      <c r="D89" s="1411"/>
      <c r="E89" s="1411"/>
      <c r="F89" s="1411"/>
      <c r="G89" s="1411"/>
      <c r="H89" s="1411"/>
      <c r="I89" s="1411"/>
      <c r="J89" s="1410"/>
      <c r="K89" s="1375"/>
      <c r="L89" s="1372">
        <v>0</v>
      </c>
      <c r="M89" s="1397"/>
      <c r="N89" s="1367"/>
      <c r="O89" s="1375"/>
      <c r="P89" s="1367"/>
      <c r="Q89" s="1367"/>
      <c r="R89" s="1367"/>
      <c r="S89" s="1367"/>
      <c r="T89" s="1367"/>
      <c r="U89" s="1367"/>
      <c r="V89" s="1367"/>
      <c r="W89" s="1367"/>
      <c r="X89" s="1367"/>
      <c r="Y89" s="1367"/>
      <c r="Z89" s="1367"/>
      <c r="AA89" s="1370"/>
    </row>
    <row r="90" spans="1:27">
      <c r="A90" s="1401"/>
      <c r="B90" s="1411"/>
      <c r="C90" s="1411"/>
      <c r="D90" s="1411"/>
      <c r="E90" s="1411"/>
      <c r="F90" s="1411"/>
      <c r="G90" s="1411"/>
      <c r="H90" s="1411"/>
      <c r="I90" s="1411"/>
      <c r="J90" s="1410"/>
      <c r="K90" s="1375"/>
      <c r="L90" s="1372"/>
      <c r="M90" s="1397"/>
      <c r="N90" s="1367"/>
      <c r="O90" s="1375"/>
      <c r="P90" s="1367"/>
      <c r="Q90" s="1367"/>
      <c r="R90" s="1367"/>
      <c r="S90" s="1367"/>
      <c r="T90" s="1367"/>
      <c r="U90" s="1367"/>
      <c r="V90" s="1367"/>
      <c r="W90" s="1367"/>
      <c r="X90" s="1367"/>
      <c r="Y90" s="1367"/>
      <c r="Z90" s="1367"/>
      <c r="AA90" s="1370"/>
    </row>
    <row r="91" spans="1:27">
      <c r="A91" s="1402"/>
      <c r="B91" s="1412" t="s">
        <v>190</v>
      </c>
      <c r="C91" s="1413"/>
      <c r="D91" s="1413"/>
      <c r="E91" s="1413"/>
      <c r="F91" s="1413"/>
      <c r="G91" s="1413"/>
      <c r="H91" s="1413"/>
      <c r="I91" s="1414"/>
      <c r="J91" s="1375"/>
      <c r="K91" s="1375"/>
      <c r="L91" s="1372"/>
      <c r="M91" s="1397"/>
      <c r="N91" s="1367"/>
      <c r="O91" s="1375"/>
      <c r="P91" s="1367"/>
      <c r="Q91" s="1367"/>
      <c r="R91" s="1367"/>
      <c r="S91" s="1367"/>
      <c r="T91" s="1367"/>
      <c r="U91" s="1367"/>
      <c r="V91" s="1367"/>
      <c r="W91" s="1367"/>
      <c r="X91" s="1367"/>
      <c r="Y91" s="1367"/>
      <c r="Z91" s="1367"/>
      <c r="AA91" s="1370"/>
    </row>
    <row r="92" spans="1:27">
      <c r="A92" s="1402"/>
      <c r="B92" s="1412"/>
      <c r="C92" s="1413"/>
      <c r="D92" s="1413"/>
      <c r="E92" s="1413"/>
      <c r="F92" s="1413"/>
      <c r="G92" s="1413"/>
      <c r="H92" s="1413"/>
      <c r="I92" s="1414"/>
      <c r="J92" s="1375"/>
      <c r="K92" s="1375"/>
      <c r="L92" s="1372"/>
      <c r="M92" s="1397"/>
      <c r="N92" s="1367"/>
      <c r="O92" s="1375"/>
      <c r="P92" s="1367"/>
      <c r="Q92" s="1367"/>
      <c r="R92" s="1367"/>
      <c r="S92" s="1367"/>
      <c r="T92" s="1367"/>
      <c r="U92" s="1367"/>
      <c r="V92" s="1367"/>
      <c r="W92" s="1367"/>
      <c r="X92" s="1367"/>
      <c r="Y92" s="1367"/>
      <c r="Z92" s="1367"/>
      <c r="AA92" s="1370"/>
    </row>
    <row r="93" spans="1:27">
      <c r="A93" s="1402"/>
      <c r="B93" s="1412"/>
      <c r="C93" s="1413"/>
      <c r="D93" s="1413"/>
      <c r="E93" s="1413"/>
      <c r="F93" s="1413"/>
      <c r="G93" s="1413"/>
      <c r="H93" s="1413"/>
      <c r="I93" s="1414"/>
      <c r="J93" s="1375"/>
      <c r="K93" s="1375"/>
      <c r="L93" s="1372"/>
      <c r="M93" s="1397"/>
      <c r="N93" s="1367"/>
      <c r="O93" s="1375"/>
      <c r="P93" s="1367"/>
      <c r="Q93" s="1367"/>
      <c r="R93" s="1367"/>
      <c r="S93" s="1367"/>
      <c r="T93" s="1367"/>
      <c r="U93" s="1367"/>
      <c r="V93" s="1367"/>
      <c r="W93" s="1367"/>
      <c r="X93" s="1367"/>
      <c r="Y93" s="1367"/>
      <c r="Z93" s="1367"/>
      <c r="AA93" s="1370"/>
    </row>
    <row r="94" spans="1:27" ht="13.5" thickBot="1">
      <c r="A94" s="1403"/>
      <c r="B94" s="1415"/>
      <c r="C94" s="1416"/>
      <c r="D94" s="1416"/>
      <c r="E94" s="1416"/>
      <c r="F94" s="1416"/>
      <c r="G94" s="1416"/>
      <c r="H94" s="1416"/>
      <c r="I94" s="1417"/>
      <c r="J94" s="1376"/>
      <c r="K94" s="1376"/>
      <c r="L94" s="1373"/>
      <c r="M94" s="1398"/>
      <c r="N94" s="1368"/>
      <c r="O94" s="1376"/>
      <c r="P94" s="1368"/>
      <c r="Q94" s="1368"/>
      <c r="R94" s="1368"/>
      <c r="S94" s="1368"/>
      <c r="T94" s="1368"/>
      <c r="U94" s="1368"/>
      <c r="V94" s="1368"/>
      <c r="W94" s="1368"/>
      <c r="X94" s="1368"/>
      <c r="Y94" s="1368"/>
      <c r="Z94" s="1368"/>
      <c r="AA94" s="1371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381" t="s">
        <v>195</v>
      </c>
      <c r="B96" s="1382"/>
      <c r="C96" s="1382"/>
      <c r="D96" s="1382"/>
      <c r="E96" s="1382"/>
      <c r="F96" s="1382"/>
      <c r="G96" s="1382"/>
      <c r="H96" s="1382"/>
      <c r="I96" s="1382"/>
      <c r="J96" s="1382"/>
      <c r="K96" s="1383"/>
      <c r="L96" s="1390">
        <f>SUM(N96,L102)</f>
        <v>41721545.109999999</v>
      </c>
      <c r="M96" s="1392" t="s">
        <v>125</v>
      </c>
      <c r="N96" s="1377">
        <f>IF(SUM(N100:N107)=(N83+N70+N57+N44+N31+N18),SUM(N100:N107),"błąd")</f>
        <v>37522722.109999999</v>
      </c>
      <c r="O96" s="1394" t="s">
        <v>117</v>
      </c>
      <c r="P96" s="1377">
        <f t="shared" ref="P96:AA96" si="6">SUM(P100:P107)</f>
        <v>4407746.83</v>
      </c>
      <c r="Q96" s="1377">
        <f t="shared" si="6"/>
        <v>4439363.4000000004</v>
      </c>
      <c r="R96" s="1377">
        <f t="shared" si="6"/>
        <v>4693844.83</v>
      </c>
      <c r="S96" s="1377">
        <f t="shared" si="6"/>
        <v>4588744.3100000005</v>
      </c>
      <c r="T96" s="1377">
        <f t="shared" si="6"/>
        <v>4264504.34</v>
      </c>
      <c r="U96" s="1377">
        <f t="shared" si="6"/>
        <v>3613997.98</v>
      </c>
      <c r="V96" s="1377">
        <f t="shared" si="6"/>
        <v>3055973.88</v>
      </c>
      <c r="W96" s="1377">
        <f t="shared" si="6"/>
        <v>3055973.88</v>
      </c>
      <c r="X96" s="1377">
        <f t="shared" si="6"/>
        <v>2901030.88</v>
      </c>
      <c r="Y96" s="1377">
        <f t="shared" si="6"/>
        <v>1941926.88</v>
      </c>
      <c r="Z96" s="1377">
        <f t="shared" si="6"/>
        <v>559614.9</v>
      </c>
      <c r="AA96" s="1379">
        <f t="shared" si="6"/>
        <v>0</v>
      </c>
    </row>
    <row r="97" spans="1:27">
      <c r="A97" s="1384"/>
      <c r="B97" s="1385"/>
      <c r="C97" s="1385"/>
      <c r="D97" s="1385"/>
      <c r="E97" s="1385"/>
      <c r="F97" s="1385"/>
      <c r="G97" s="1385"/>
      <c r="H97" s="1385"/>
      <c r="I97" s="1385"/>
      <c r="J97" s="1385"/>
      <c r="K97" s="1386"/>
      <c r="L97" s="1391"/>
      <c r="M97" s="1393"/>
      <c r="N97" s="1378"/>
      <c r="O97" s="1375"/>
      <c r="P97" s="1378"/>
      <c r="Q97" s="1378"/>
      <c r="R97" s="1378"/>
      <c r="S97" s="1378"/>
      <c r="T97" s="1378"/>
      <c r="U97" s="1378"/>
      <c r="V97" s="1378"/>
      <c r="W97" s="1378"/>
      <c r="X97" s="1378"/>
      <c r="Y97" s="1378"/>
      <c r="Z97" s="1378"/>
      <c r="AA97" s="1380"/>
    </row>
    <row r="98" spans="1:27">
      <c r="A98" s="1384"/>
      <c r="B98" s="1385"/>
      <c r="C98" s="1385"/>
      <c r="D98" s="1385"/>
      <c r="E98" s="1385"/>
      <c r="F98" s="1385"/>
      <c r="G98" s="1385"/>
      <c r="H98" s="1385"/>
      <c r="I98" s="1385"/>
      <c r="J98" s="1385"/>
      <c r="K98" s="1386"/>
      <c r="L98" s="1391"/>
      <c r="M98" s="1393"/>
      <c r="N98" s="1378"/>
      <c r="O98" s="1375"/>
      <c r="P98" s="1378"/>
      <c r="Q98" s="1378"/>
      <c r="R98" s="1378"/>
      <c r="S98" s="1378"/>
      <c r="T98" s="1378"/>
      <c r="U98" s="1378"/>
      <c r="V98" s="1378"/>
      <c r="W98" s="1378"/>
      <c r="X98" s="1378"/>
      <c r="Y98" s="1378"/>
      <c r="Z98" s="1378"/>
      <c r="AA98" s="1380"/>
    </row>
    <row r="99" spans="1:27">
      <c r="A99" s="1384"/>
      <c r="B99" s="1385"/>
      <c r="C99" s="1385"/>
      <c r="D99" s="1385"/>
      <c r="E99" s="1385"/>
      <c r="F99" s="1385"/>
      <c r="G99" s="1385"/>
      <c r="H99" s="1385"/>
      <c r="I99" s="1385"/>
      <c r="J99" s="1385"/>
      <c r="K99" s="1386"/>
      <c r="L99" s="1391"/>
      <c r="M99" s="1393"/>
      <c r="N99" s="1378"/>
      <c r="O99" s="1395"/>
      <c r="P99" s="1378"/>
      <c r="Q99" s="1378"/>
      <c r="R99" s="1378"/>
      <c r="S99" s="1378"/>
      <c r="T99" s="1378"/>
      <c r="U99" s="1378"/>
      <c r="V99" s="1378"/>
      <c r="W99" s="1378"/>
      <c r="X99" s="1378"/>
      <c r="Y99" s="1378"/>
      <c r="Z99" s="1378"/>
      <c r="AA99" s="1380"/>
    </row>
    <row r="100" spans="1:27">
      <c r="A100" s="1384"/>
      <c r="B100" s="1385"/>
      <c r="C100" s="1385"/>
      <c r="D100" s="1385"/>
      <c r="E100" s="1385"/>
      <c r="F100" s="1385"/>
      <c r="G100" s="1385"/>
      <c r="H100" s="1385"/>
      <c r="I100" s="1385"/>
      <c r="J100" s="1385"/>
      <c r="K100" s="1386"/>
      <c r="L100" s="1391"/>
      <c r="M100" s="1396">
        <v>75704</v>
      </c>
      <c r="N100" s="1366">
        <f>SUM(P100:Z107)</f>
        <v>37522722.109999999</v>
      </c>
      <c r="O100" s="1374" t="s">
        <v>117</v>
      </c>
      <c r="P100" s="1366">
        <f>SUM(P22,P27,P35,P48,P61,P66,P74,P87)</f>
        <v>4407746.83</v>
      </c>
      <c r="Q100" s="1366">
        <f t="shared" ref="Q100:Z100" si="7">SUM(Q22,Q27,Q35,Q48,Q61,Q66,Q74,Q87)</f>
        <v>4439363.4000000004</v>
      </c>
      <c r="R100" s="1366">
        <f t="shared" si="7"/>
        <v>4693844.83</v>
      </c>
      <c r="S100" s="1366">
        <f t="shared" si="7"/>
        <v>4588744.3100000005</v>
      </c>
      <c r="T100" s="1366">
        <f t="shared" si="7"/>
        <v>4264504.34</v>
      </c>
      <c r="U100" s="1366">
        <f t="shared" si="7"/>
        <v>3613997.98</v>
      </c>
      <c r="V100" s="1366">
        <f t="shared" si="7"/>
        <v>3055973.88</v>
      </c>
      <c r="W100" s="1366">
        <f t="shared" si="7"/>
        <v>3055973.88</v>
      </c>
      <c r="X100" s="1366">
        <f t="shared" si="7"/>
        <v>2901030.88</v>
      </c>
      <c r="Y100" s="1366">
        <f t="shared" si="7"/>
        <v>1941926.88</v>
      </c>
      <c r="Z100" s="1366">
        <f t="shared" si="7"/>
        <v>559614.9</v>
      </c>
      <c r="AA100" s="1369">
        <v>0</v>
      </c>
    </row>
    <row r="101" spans="1:27">
      <c r="A101" s="1384"/>
      <c r="B101" s="1385"/>
      <c r="C101" s="1385"/>
      <c r="D101" s="1385"/>
      <c r="E101" s="1385"/>
      <c r="F101" s="1385"/>
      <c r="G101" s="1385"/>
      <c r="H101" s="1385"/>
      <c r="I101" s="1385"/>
      <c r="J101" s="1385"/>
      <c r="K101" s="1386"/>
      <c r="L101" s="1391"/>
      <c r="M101" s="1397"/>
      <c r="N101" s="1367"/>
      <c r="O101" s="1375"/>
      <c r="P101" s="1367"/>
      <c r="Q101" s="1367"/>
      <c r="R101" s="1367"/>
      <c r="S101" s="1367"/>
      <c r="T101" s="1367"/>
      <c r="U101" s="1367"/>
      <c r="V101" s="1367"/>
      <c r="W101" s="1367"/>
      <c r="X101" s="1367"/>
      <c r="Y101" s="1367"/>
      <c r="Z101" s="1367"/>
      <c r="AA101" s="1370"/>
    </row>
    <row r="102" spans="1:27">
      <c r="A102" s="1384"/>
      <c r="B102" s="1385"/>
      <c r="C102" s="1385"/>
      <c r="D102" s="1385"/>
      <c r="E102" s="1385"/>
      <c r="F102" s="1385"/>
      <c r="G102" s="1385"/>
      <c r="H102" s="1385"/>
      <c r="I102" s="1385"/>
      <c r="J102" s="1385"/>
      <c r="K102" s="1386"/>
      <c r="L102" s="1372">
        <f>SUM(L24,L37,L50,L63,L76,L89)</f>
        <v>4198823</v>
      </c>
      <c r="M102" s="1397"/>
      <c r="N102" s="1367"/>
      <c r="O102" s="1375"/>
      <c r="P102" s="1367"/>
      <c r="Q102" s="1367"/>
      <c r="R102" s="1367"/>
      <c r="S102" s="1367"/>
      <c r="T102" s="1367"/>
      <c r="U102" s="1367"/>
      <c r="V102" s="1367"/>
      <c r="W102" s="1367"/>
      <c r="X102" s="1367"/>
      <c r="Y102" s="1367"/>
      <c r="Z102" s="1367"/>
      <c r="AA102" s="1370"/>
    </row>
    <row r="103" spans="1:27">
      <c r="A103" s="1384"/>
      <c r="B103" s="1385"/>
      <c r="C103" s="1385"/>
      <c r="D103" s="1385"/>
      <c r="E103" s="1385"/>
      <c r="F103" s="1385"/>
      <c r="G103" s="1385"/>
      <c r="H103" s="1385"/>
      <c r="I103" s="1385"/>
      <c r="J103" s="1385"/>
      <c r="K103" s="1386"/>
      <c r="L103" s="1372"/>
      <c r="M103" s="1397"/>
      <c r="N103" s="1367"/>
      <c r="O103" s="1375"/>
      <c r="P103" s="1367"/>
      <c r="Q103" s="1367"/>
      <c r="R103" s="1367"/>
      <c r="S103" s="1367"/>
      <c r="T103" s="1367"/>
      <c r="U103" s="1367"/>
      <c r="V103" s="1367"/>
      <c r="W103" s="1367"/>
      <c r="X103" s="1367"/>
      <c r="Y103" s="1367"/>
      <c r="Z103" s="1367"/>
      <c r="AA103" s="1370"/>
    </row>
    <row r="104" spans="1:27">
      <c r="A104" s="1384"/>
      <c r="B104" s="1385"/>
      <c r="C104" s="1385"/>
      <c r="D104" s="1385"/>
      <c r="E104" s="1385"/>
      <c r="F104" s="1385"/>
      <c r="G104" s="1385"/>
      <c r="H104" s="1385"/>
      <c r="I104" s="1385"/>
      <c r="J104" s="1385"/>
      <c r="K104" s="1386"/>
      <c r="L104" s="1372"/>
      <c r="M104" s="1397"/>
      <c r="N104" s="1367"/>
      <c r="O104" s="1375"/>
      <c r="P104" s="1367"/>
      <c r="Q104" s="1367"/>
      <c r="R104" s="1367"/>
      <c r="S104" s="1367"/>
      <c r="T104" s="1367"/>
      <c r="U104" s="1367"/>
      <c r="V104" s="1367"/>
      <c r="W104" s="1367"/>
      <c r="X104" s="1367"/>
      <c r="Y104" s="1367"/>
      <c r="Z104" s="1367"/>
      <c r="AA104" s="1370"/>
    </row>
    <row r="105" spans="1:27">
      <c r="A105" s="1384"/>
      <c r="B105" s="1385"/>
      <c r="C105" s="1385"/>
      <c r="D105" s="1385"/>
      <c r="E105" s="1385"/>
      <c r="F105" s="1385"/>
      <c r="G105" s="1385"/>
      <c r="H105" s="1385"/>
      <c r="I105" s="1385"/>
      <c r="J105" s="1385"/>
      <c r="K105" s="1386"/>
      <c r="L105" s="1372"/>
      <c r="M105" s="1397"/>
      <c r="N105" s="1367"/>
      <c r="O105" s="1375"/>
      <c r="P105" s="1367"/>
      <c r="Q105" s="1367"/>
      <c r="R105" s="1367"/>
      <c r="S105" s="1367"/>
      <c r="T105" s="1367"/>
      <c r="U105" s="1367"/>
      <c r="V105" s="1367"/>
      <c r="W105" s="1367"/>
      <c r="X105" s="1367"/>
      <c r="Y105" s="1367"/>
      <c r="Z105" s="1367"/>
      <c r="AA105" s="1370"/>
    </row>
    <row r="106" spans="1:27">
      <c r="A106" s="1384"/>
      <c r="B106" s="1385"/>
      <c r="C106" s="1385"/>
      <c r="D106" s="1385"/>
      <c r="E106" s="1385"/>
      <c r="F106" s="1385"/>
      <c r="G106" s="1385"/>
      <c r="H106" s="1385"/>
      <c r="I106" s="1385"/>
      <c r="J106" s="1385"/>
      <c r="K106" s="1386"/>
      <c r="L106" s="1372"/>
      <c r="M106" s="1397"/>
      <c r="N106" s="1367"/>
      <c r="O106" s="1375"/>
      <c r="P106" s="1367"/>
      <c r="Q106" s="1367"/>
      <c r="R106" s="1367"/>
      <c r="S106" s="1367"/>
      <c r="T106" s="1367"/>
      <c r="U106" s="1367"/>
      <c r="V106" s="1367"/>
      <c r="W106" s="1367"/>
      <c r="X106" s="1367"/>
      <c r="Y106" s="1367"/>
      <c r="Z106" s="1367"/>
      <c r="AA106" s="1370"/>
    </row>
    <row r="107" spans="1:27" ht="13.5" thickBot="1">
      <c r="A107" s="1387"/>
      <c r="B107" s="1388"/>
      <c r="C107" s="1388"/>
      <c r="D107" s="1388"/>
      <c r="E107" s="1388"/>
      <c r="F107" s="1388"/>
      <c r="G107" s="1388"/>
      <c r="H107" s="1388"/>
      <c r="I107" s="1388"/>
      <c r="J107" s="1388"/>
      <c r="K107" s="1389"/>
      <c r="L107" s="1373"/>
      <c r="M107" s="1398"/>
      <c r="N107" s="1368"/>
      <c r="O107" s="1376"/>
      <c r="P107" s="1368"/>
      <c r="Q107" s="1368"/>
      <c r="R107" s="1368"/>
      <c r="S107" s="1368"/>
      <c r="T107" s="1368"/>
      <c r="U107" s="1368"/>
      <c r="V107" s="1368"/>
      <c r="W107" s="1368"/>
      <c r="X107" s="1368"/>
      <c r="Y107" s="1368"/>
      <c r="Z107" s="1368"/>
      <c r="AA107" s="1371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zoomScale="130" zoomScaleSheetLayoutView="130" workbookViewId="0">
      <selection activeCell="I65" sqref="I65"/>
    </sheetView>
  </sheetViews>
  <sheetFormatPr defaultRowHeight="12.75"/>
  <cols>
    <col min="1" max="1" width="9.140625" style="517"/>
    <col min="2" max="2" width="3.7109375" style="517" customWidth="1"/>
    <col min="3" max="4" width="13.7109375" style="553" customWidth="1"/>
    <col min="5" max="6" width="16.7109375" style="518" customWidth="1"/>
    <col min="7" max="7" width="16.85546875" style="518" customWidth="1"/>
    <col min="8" max="18" width="16.7109375" style="518" customWidth="1"/>
    <col min="19" max="30" width="13.7109375" style="518" customWidth="1"/>
    <col min="31" max="16384" width="9.140625" style="517"/>
  </cols>
  <sheetData>
    <row r="2" spans="1:30" ht="20.25">
      <c r="B2" s="1499" t="s">
        <v>319</v>
      </c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  <c r="AC2" s="1499"/>
      <c r="AD2" s="1499"/>
    </row>
    <row r="4" spans="1:30" ht="15">
      <c r="A4" s="519"/>
      <c r="B4" s="1482" t="s">
        <v>196</v>
      </c>
      <c r="C4" s="1484" t="s">
        <v>320</v>
      </c>
      <c r="D4" s="1485"/>
      <c r="E4" s="1488">
        <v>2012</v>
      </c>
      <c r="F4" s="1489"/>
      <c r="G4" s="1488">
        <f>E4+1</f>
        <v>2013</v>
      </c>
      <c r="H4" s="1489"/>
      <c r="I4" s="1488">
        <f>G4+1</f>
        <v>2014</v>
      </c>
      <c r="J4" s="1489"/>
      <c r="K4" s="1488">
        <f>I4+1</f>
        <v>2015</v>
      </c>
      <c r="L4" s="1489"/>
      <c r="M4" s="1488">
        <f>K4+1</f>
        <v>2016</v>
      </c>
      <c r="N4" s="1489"/>
      <c r="O4" s="1488">
        <f>M4+1</f>
        <v>2017</v>
      </c>
      <c r="P4" s="1489"/>
      <c r="Q4" s="1488">
        <f>O4+1</f>
        <v>2018</v>
      </c>
      <c r="R4" s="1489"/>
      <c r="S4" s="1488">
        <f>Q4+1</f>
        <v>2019</v>
      </c>
      <c r="T4" s="1489"/>
      <c r="U4" s="1488">
        <f>S4+1</f>
        <v>2020</v>
      </c>
      <c r="V4" s="1489"/>
      <c r="W4" s="1488">
        <f>U4+1</f>
        <v>2021</v>
      </c>
      <c r="X4" s="1489"/>
      <c r="Y4" s="1488">
        <f>W4+1</f>
        <v>2022</v>
      </c>
      <c r="Z4" s="1489"/>
      <c r="AA4" s="1488">
        <f>Y4+1</f>
        <v>2023</v>
      </c>
      <c r="AB4" s="1489"/>
      <c r="AC4" s="1488">
        <f>AA4+1</f>
        <v>2024</v>
      </c>
      <c r="AD4" s="1489"/>
    </row>
    <row r="5" spans="1:30" ht="15">
      <c r="A5" s="519"/>
      <c r="B5" s="1483"/>
      <c r="C5" s="1486"/>
      <c r="D5" s="1487"/>
      <c r="E5" s="520" t="s">
        <v>267</v>
      </c>
      <c r="F5" s="520" t="s">
        <v>268</v>
      </c>
      <c r="G5" s="520" t="s">
        <v>267</v>
      </c>
      <c r="H5" s="520" t="s">
        <v>268</v>
      </c>
      <c r="I5" s="520" t="s">
        <v>267</v>
      </c>
      <c r="J5" s="520" t="s">
        <v>268</v>
      </c>
      <c r="K5" s="520" t="s">
        <v>267</v>
      </c>
      <c r="L5" s="520" t="s">
        <v>268</v>
      </c>
      <c r="M5" s="520" t="s">
        <v>267</v>
      </c>
      <c r="N5" s="520" t="s">
        <v>268</v>
      </c>
      <c r="O5" s="520" t="s">
        <v>267</v>
      </c>
      <c r="P5" s="520" t="s">
        <v>268</v>
      </c>
      <c r="Q5" s="520" t="s">
        <v>267</v>
      </c>
      <c r="R5" s="520" t="s">
        <v>268</v>
      </c>
      <c r="S5" s="520" t="s">
        <v>267</v>
      </c>
      <c r="T5" s="520" t="s">
        <v>268</v>
      </c>
      <c r="U5" s="520" t="s">
        <v>267</v>
      </c>
      <c r="V5" s="520" t="s">
        <v>268</v>
      </c>
      <c r="W5" s="520" t="s">
        <v>267</v>
      </c>
      <c r="X5" s="520" t="s">
        <v>268</v>
      </c>
      <c r="Y5" s="520" t="s">
        <v>267</v>
      </c>
      <c r="Z5" s="520" t="s">
        <v>268</v>
      </c>
      <c r="AA5" s="520" t="s">
        <v>267</v>
      </c>
      <c r="AB5" s="520" t="s">
        <v>268</v>
      </c>
      <c r="AC5" s="520" t="s">
        <v>267</v>
      </c>
      <c r="AD5" s="520" t="s">
        <v>268</v>
      </c>
    </row>
    <row r="6" spans="1:30" ht="30" customHeight="1">
      <c r="A6" s="519"/>
      <c r="B6" s="521" t="s">
        <v>35</v>
      </c>
      <c r="C6" s="1490" t="s">
        <v>321</v>
      </c>
      <c r="D6" s="1491"/>
      <c r="E6" s="522">
        <f t="shared" ref="E6:AD6" si="0">SUM(E8:E10)</f>
        <v>6998867</v>
      </c>
      <c r="F6" s="522">
        <f t="shared" si="0"/>
        <v>2173467</v>
      </c>
      <c r="G6" s="522">
        <f t="shared" si="0"/>
        <v>10160865</v>
      </c>
      <c r="H6" s="522">
        <f t="shared" si="0"/>
        <v>2417057</v>
      </c>
      <c r="I6" s="522">
        <f t="shared" si="0"/>
        <v>4101396</v>
      </c>
      <c r="J6" s="522">
        <f t="shared" si="0"/>
        <v>2069493</v>
      </c>
      <c r="K6" s="522">
        <f t="shared" si="0"/>
        <v>5176341</v>
      </c>
      <c r="L6" s="522">
        <f t="shared" si="0"/>
        <v>2045171</v>
      </c>
      <c r="M6" s="522">
        <f t="shared" si="0"/>
        <v>7649637</v>
      </c>
      <c r="N6" s="522">
        <f t="shared" si="0"/>
        <v>1748818</v>
      </c>
      <c r="O6" s="522">
        <f t="shared" si="0"/>
        <v>7620325</v>
      </c>
      <c r="P6" s="522">
        <f t="shared" si="0"/>
        <v>1420160</v>
      </c>
      <c r="Q6" s="522">
        <f t="shared" si="0"/>
        <v>5569330</v>
      </c>
      <c r="R6" s="522">
        <f t="shared" si="0"/>
        <v>994145</v>
      </c>
      <c r="S6" s="522">
        <f t="shared" si="0"/>
        <v>5472512</v>
      </c>
      <c r="T6" s="522">
        <f t="shared" si="0"/>
        <v>721225</v>
      </c>
      <c r="U6" s="522">
        <f t="shared" si="0"/>
        <v>1452169</v>
      </c>
      <c r="V6" s="522">
        <f t="shared" si="0"/>
        <v>450019</v>
      </c>
      <c r="W6" s="522">
        <f t="shared" si="0"/>
        <v>1452169</v>
      </c>
      <c r="X6" s="522">
        <f t="shared" si="0"/>
        <v>383039</v>
      </c>
      <c r="Y6" s="522">
        <f t="shared" si="0"/>
        <v>1452169</v>
      </c>
      <c r="Z6" s="522">
        <f t="shared" si="0"/>
        <v>315568</v>
      </c>
      <c r="AA6" s="522">
        <f t="shared" si="0"/>
        <v>1452169</v>
      </c>
      <c r="AB6" s="522">
        <f t="shared" si="0"/>
        <v>247592</v>
      </c>
      <c r="AC6" s="522">
        <f t="shared" si="0"/>
        <v>1452169</v>
      </c>
      <c r="AD6" s="522">
        <f t="shared" si="0"/>
        <v>179098</v>
      </c>
    </row>
    <row r="7" spans="1:30" ht="19.149999999999999" customHeight="1">
      <c r="A7" s="519"/>
      <c r="B7" s="523"/>
      <c r="C7" s="524" t="s">
        <v>322</v>
      </c>
      <c r="D7" s="524"/>
      <c r="E7" s="525"/>
      <c r="F7" s="525"/>
      <c r="G7" s="525"/>
      <c r="H7" s="525"/>
      <c r="I7" s="525"/>
      <c r="J7" s="526"/>
      <c r="K7" s="525"/>
      <c r="L7" s="525"/>
      <c r="M7" s="525"/>
      <c r="N7" s="525"/>
      <c r="O7" s="525"/>
      <c r="P7" s="525"/>
      <c r="Q7" s="525"/>
      <c r="R7" s="525"/>
      <c r="S7" s="525"/>
      <c r="T7" s="526"/>
      <c r="U7" s="525"/>
      <c r="V7" s="525"/>
      <c r="W7" s="525"/>
      <c r="X7" s="525"/>
      <c r="Y7" s="525"/>
      <c r="Z7" s="525"/>
      <c r="AA7" s="525"/>
      <c r="AB7" s="525"/>
      <c r="AC7" s="525"/>
      <c r="AD7" s="526"/>
    </row>
    <row r="8" spans="1:30" ht="19.149999999999999" customHeight="1">
      <c r="A8" s="519"/>
      <c r="B8" s="521">
        <v>1</v>
      </c>
      <c r="C8" s="1490" t="s">
        <v>323</v>
      </c>
      <c r="D8" s="1491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</row>
    <row r="9" spans="1:30" ht="19.149999999999999" customHeight="1">
      <c r="A9" s="519"/>
      <c r="B9" s="521">
        <v>2</v>
      </c>
      <c r="C9" s="1490" t="s">
        <v>324</v>
      </c>
      <c r="D9" s="1491"/>
      <c r="E9" s="522">
        <f>'HSZ do złotówek'!G31</f>
        <v>698867</v>
      </c>
      <c r="F9" s="522">
        <f>'HSZ do złotówek'!H31</f>
        <v>76571</v>
      </c>
      <c r="G9" s="522">
        <f>'HSZ do złotówek'!I31</f>
        <v>660865</v>
      </c>
      <c r="H9" s="522">
        <f>'HSZ do złotówek'!J$31</f>
        <v>294826</v>
      </c>
      <c r="I9" s="522">
        <f>'HSZ do złotówek'!K$31</f>
        <v>601396</v>
      </c>
      <c r="J9" s="522">
        <f>'HSZ do złotówek'!L$31</f>
        <v>484819</v>
      </c>
      <c r="K9" s="522">
        <f>'HSZ do złotówek'!M$31</f>
        <v>1276341</v>
      </c>
      <c r="L9" s="522">
        <f>'HSZ do złotówek'!N$31</f>
        <v>714238</v>
      </c>
      <c r="M9" s="522">
        <f>'HSZ do złotówek'!O$31</f>
        <v>1649637</v>
      </c>
      <c r="N9" s="522">
        <f>'HSZ do złotówek'!P$31</f>
        <v>725545</v>
      </c>
      <c r="O9" s="522">
        <f>'HSZ do złotówek'!Q$31</f>
        <v>1620325</v>
      </c>
      <c r="P9" s="522">
        <f>'HSZ do złotówek'!R$31</f>
        <v>654836</v>
      </c>
      <c r="Q9" s="522">
        <f>'HSZ do złotówek'!S$31</f>
        <v>1569330</v>
      </c>
      <c r="R9" s="522">
        <f>'HSZ do złotówek'!T$31</f>
        <v>584835</v>
      </c>
      <c r="S9" s="522">
        <f>'HSZ do złotówek'!U$31</f>
        <v>1472512</v>
      </c>
      <c r="T9" s="522">
        <f>'HSZ do złotówek'!V$31</f>
        <v>516570</v>
      </c>
      <c r="U9" s="522">
        <f>'HSZ do złotówek'!W$31</f>
        <v>1452169</v>
      </c>
      <c r="V9" s="522">
        <f>'HSZ do złotówek'!X$31</f>
        <v>450019</v>
      </c>
      <c r="W9" s="522">
        <f>'HSZ do złotówek'!Y$31</f>
        <v>1452169</v>
      </c>
      <c r="X9" s="522">
        <f>'HSZ do złotówek'!Z$31</f>
        <v>383039</v>
      </c>
      <c r="Y9" s="522">
        <f>'HSZ do złotówek'!AA$31</f>
        <v>1452169</v>
      </c>
      <c r="Z9" s="522">
        <f>'HSZ do złotówek'!AB$31</f>
        <v>315568</v>
      </c>
      <c r="AA9" s="522">
        <f>'HSZ do złotówek'!AC$31</f>
        <v>1452169</v>
      </c>
      <c r="AB9" s="522">
        <f>'HSZ do złotówek'!AD$31</f>
        <v>247592</v>
      </c>
      <c r="AC9" s="522">
        <f>'HSZ do złotówek'!AE$31</f>
        <v>1452169</v>
      </c>
      <c r="AD9" s="522">
        <f>'HSZ do złotówek'!AF$31</f>
        <v>179098</v>
      </c>
    </row>
    <row r="10" spans="1:30" ht="25.5" customHeight="1" thickBot="1">
      <c r="A10" s="519"/>
      <c r="B10" s="527">
        <v>3</v>
      </c>
      <c r="C10" s="1492" t="s">
        <v>325</v>
      </c>
      <c r="D10" s="1493"/>
      <c r="E10" s="528">
        <f>'HSZ do złotówek'!G$42</f>
        <v>6300000</v>
      </c>
      <c r="F10" s="528">
        <f>'HSZ do złotówek'!H$42</f>
        <v>2096896</v>
      </c>
      <c r="G10" s="528">
        <f>'HSZ do złotówek'!I$42</f>
        <v>9500000</v>
      </c>
      <c r="H10" s="528">
        <f>'HSZ do złotówek'!J$42</f>
        <v>2122231</v>
      </c>
      <c r="I10" s="528">
        <f>'HSZ do złotówek'!K$42</f>
        <v>3500000</v>
      </c>
      <c r="J10" s="528">
        <f>'HSZ do złotówek'!L$42</f>
        <v>1584674</v>
      </c>
      <c r="K10" s="528">
        <f>'HSZ do złotówek'!M$42</f>
        <v>3900000</v>
      </c>
      <c r="L10" s="528">
        <f>'HSZ do złotówek'!N$42</f>
        <v>1330933</v>
      </c>
      <c r="M10" s="528">
        <f>'HSZ do złotówek'!O$42</f>
        <v>6000000</v>
      </c>
      <c r="N10" s="528">
        <f>'HSZ do złotówek'!P$42</f>
        <v>1023273</v>
      </c>
      <c r="O10" s="528">
        <f>'HSZ do złotówek'!Q$42</f>
        <v>6000000</v>
      </c>
      <c r="P10" s="528">
        <f>'HSZ do złotówek'!R$42</f>
        <v>765324</v>
      </c>
      <c r="Q10" s="528">
        <f>'HSZ do złotówek'!S$42</f>
        <v>4000000</v>
      </c>
      <c r="R10" s="528">
        <f>'HSZ do złotówek'!T$42</f>
        <v>409310</v>
      </c>
      <c r="S10" s="528">
        <f>'HSZ do złotówek'!U$42</f>
        <v>4000000</v>
      </c>
      <c r="T10" s="528">
        <f>'HSZ do złotówek'!V$42</f>
        <v>204655</v>
      </c>
      <c r="U10" s="528">
        <f>'HSZ do złotówek'!W$42</f>
        <v>0</v>
      </c>
      <c r="V10" s="528">
        <f>'HSZ do złotówek'!X$42</f>
        <v>0</v>
      </c>
      <c r="W10" s="528">
        <f>'HSZ do złotówek'!Y$42</f>
        <v>0</v>
      </c>
      <c r="X10" s="528">
        <f>'HSZ do złotówek'!Z$42</f>
        <v>0</v>
      </c>
      <c r="Y10" s="528">
        <f>'HSZ do złotówek'!AA$42</f>
        <v>0</v>
      </c>
      <c r="Z10" s="528">
        <f>'HSZ do złotówek'!AB$42</f>
        <v>0</v>
      </c>
      <c r="AA10" s="528">
        <f>'HSZ do złotówek'!AC$42</f>
        <v>0</v>
      </c>
      <c r="AB10" s="528">
        <f>'HSZ do złotówek'!AD$42</f>
        <v>0</v>
      </c>
      <c r="AC10" s="528">
        <f>'HSZ do złotówek'!AE$42</f>
        <v>0</v>
      </c>
      <c r="AD10" s="528">
        <f>'HSZ do złotówek'!AF$42</f>
        <v>0</v>
      </c>
    </row>
    <row r="11" spans="1:30" ht="19.149999999999999" customHeight="1" thickBot="1">
      <c r="A11" s="519"/>
      <c r="B11" s="529"/>
      <c r="C11" s="1494" t="s">
        <v>125</v>
      </c>
      <c r="D11" s="1495"/>
      <c r="E11" s="530">
        <f t="shared" ref="E11:AD11" si="1">E6</f>
        <v>6998867</v>
      </c>
      <c r="F11" s="530">
        <f t="shared" si="1"/>
        <v>2173467</v>
      </c>
      <c r="G11" s="530">
        <f t="shared" si="1"/>
        <v>10160865</v>
      </c>
      <c r="H11" s="530">
        <f t="shared" si="1"/>
        <v>2417057</v>
      </c>
      <c r="I11" s="530">
        <f t="shared" si="1"/>
        <v>4101396</v>
      </c>
      <c r="J11" s="530">
        <f t="shared" si="1"/>
        <v>2069493</v>
      </c>
      <c r="K11" s="530">
        <f t="shared" si="1"/>
        <v>5176341</v>
      </c>
      <c r="L11" s="530">
        <f t="shared" si="1"/>
        <v>2045171</v>
      </c>
      <c r="M11" s="530">
        <f t="shared" si="1"/>
        <v>7649637</v>
      </c>
      <c r="N11" s="530">
        <f t="shared" si="1"/>
        <v>1748818</v>
      </c>
      <c r="O11" s="530">
        <f t="shared" si="1"/>
        <v>7620325</v>
      </c>
      <c r="P11" s="530">
        <f t="shared" si="1"/>
        <v>1420160</v>
      </c>
      <c r="Q11" s="530">
        <f t="shared" si="1"/>
        <v>5569330</v>
      </c>
      <c r="R11" s="530">
        <f t="shared" si="1"/>
        <v>994145</v>
      </c>
      <c r="S11" s="530">
        <f t="shared" si="1"/>
        <v>5472512</v>
      </c>
      <c r="T11" s="530">
        <f t="shared" si="1"/>
        <v>721225</v>
      </c>
      <c r="U11" s="530">
        <f t="shared" si="1"/>
        <v>1452169</v>
      </c>
      <c r="V11" s="530">
        <f t="shared" si="1"/>
        <v>450019</v>
      </c>
      <c r="W11" s="530">
        <f t="shared" si="1"/>
        <v>1452169</v>
      </c>
      <c r="X11" s="530">
        <f t="shared" si="1"/>
        <v>383039</v>
      </c>
      <c r="Y11" s="530">
        <f t="shared" si="1"/>
        <v>1452169</v>
      </c>
      <c r="Z11" s="530">
        <f t="shared" si="1"/>
        <v>315568</v>
      </c>
      <c r="AA11" s="530">
        <f t="shared" si="1"/>
        <v>1452169</v>
      </c>
      <c r="AB11" s="530">
        <f t="shared" si="1"/>
        <v>247592</v>
      </c>
      <c r="AC11" s="530">
        <f t="shared" si="1"/>
        <v>1452169</v>
      </c>
      <c r="AD11" s="530">
        <f t="shared" si="1"/>
        <v>179098</v>
      </c>
    </row>
    <row r="12" spans="1:30" ht="25.5" customHeight="1">
      <c r="A12" s="519"/>
      <c r="B12" s="531" t="s">
        <v>36</v>
      </c>
      <c r="C12" s="1496" t="s">
        <v>326</v>
      </c>
      <c r="D12" s="1497"/>
      <c r="E12" s="603">
        <f t="shared" ref="E12:AD12" si="2">SUM(E14:E16)</f>
        <v>0</v>
      </c>
      <c r="F12" s="603">
        <f t="shared" si="2"/>
        <v>0</v>
      </c>
      <c r="G12" s="532">
        <f t="shared" si="2"/>
        <v>0</v>
      </c>
      <c r="H12" s="532">
        <f t="shared" si="2"/>
        <v>0</v>
      </c>
      <c r="I12" s="532">
        <f t="shared" si="2"/>
        <v>0</v>
      </c>
      <c r="J12" s="532">
        <f t="shared" si="2"/>
        <v>535004</v>
      </c>
      <c r="K12" s="532">
        <f t="shared" si="2"/>
        <v>0</v>
      </c>
      <c r="L12" s="532">
        <f>SUM(L14:L16)</f>
        <v>535004</v>
      </c>
      <c r="M12" s="532">
        <f t="shared" si="2"/>
        <v>0</v>
      </c>
      <c r="N12" s="532">
        <f t="shared" si="2"/>
        <v>535004</v>
      </c>
      <c r="O12" s="532">
        <f t="shared" si="2"/>
        <v>0</v>
      </c>
      <c r="P12" s="532">
        <f t="shared" si="2"/>
        <v>535004</v>
      </c>
      <c r="Q12" s="532">
        <f t="shared" si="2"/>
        <v>0</v>
      </c>
      <c r="R12" s="532">
        <f t="shared" si="2"/>
        <v>546528</v>
      </c>
      <c r="S12" s="532">
        <f t="shared" si="2"/>
        <v>0</v>
      </c>
      <c r="T12" s="532">
        <f t="shared" si="2"/>
        <v>550904</v>
      </c>
      <c r="U12" s="532">
        <f t="shared" si="2"/>
        <v>1300000</v>
      </c>
      <c r="V12" s="532">
        <f t="shared" si="2"/>
        <v>588178</v>
      </c>
      <c r="W12" s="532">
        <f t="shared" si="2"/>
        <v>4243402</v>
      </c>
      <c r="X12" s="532">
        <f t="shared" si="2"/>
        <v>515016</v>
      </c>
      <c r="Y12" s="532">
        <f t="shared" si="2"/>
        <v>6092407</v>
      </c>
      <c r="Z12" s="532">
        <f t="shared" si="2"/>
        <v>306815</v>
      </c>
      <c r="AA12" s="532">
        <f t="shared" si="2"/>
        <v>895589</v>
      </c>
      <c r="AB12" s="532">
        <f t="shared" si="2"/>
        <v>98887</v>
      </c>
      <c r="AC12" s="532">
        <f t="shared" si="2"/>
        <v>1267653</v>
      </c>
      <c r="AD12" s="532">
        <f t="shared" si="2"/>
        <v>55017</v>
      </c>
    </row>
    <row r="13" spans="1:30">
      <c r="A13" s="519"/>
      <c r="B13" s="523"/>
      <c r="C13" s="524" t="s">
        <v>327</v>
      </c>
      <c r="D13" s="524"/>
      <c r="E13" s="604"/>
      <c r="F13" s="604"/>
      <c r="G13" s="525"/>
      <c r="H13" s="525"/>
      <c r="I13" s="525"/>
      <c r="J13" s="526"/>
      <c r="K13" s="525"/>
      <c r="L13" s="525"/>
      <c r="M13" s="525"/>
      <c r="N13" s="525"/>
      <c r="O13" s="525"/>
      <c r="P13" s="525"/>
      <c r="Q13" s="525"/>
      <c r="R13" s="525"/>
      <c r="S13" s="525"/>
      <c r="T13" s="526"/>
      <c r="U13" s="525"/>
      <c r="V13" s="525"/>
      <c r="W13" s="525"/>
      <c r="X13" s="525"/>
      <c r="Y13" s="525"/>
      <c r="Z13" s="525"/>
      <c r="AA13" s="525"/>
      <c r="AB13" s="525"/>
      <c r="AC13" s="525"/>
      <c r="AD13" s="526"/>
    </row>
    <row r="14" spans="1:30">
      <c r="A14" s="519"/>
      <c r="B14" s="521">
        <v>1</v>
      </c>
      <c r="C14" s="1490" t="s">
        <v>323</v>
      </c>
      <c r="D14" s="1491"/>
      <c r="E14" s="605"/>
      <c r="F14" s="605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</row>
    <row r="15" spans="1:30">
      <c r="A15" s="519"/>
      <c r="B15" s="521">
        <v>2</v>
      </c>
      <c r="C15" s="1490" t="s">
        <v>324</v>
      </c>
      <c r="D15" s="1491"/>
      <c r="E15" s="605"/>
      <c r="F15" s="605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</row>
    <row r="16" spans="1:30" ht="25.5" customHeight="1" thickBot="1">
      <c r="A16" s="519"/>
      <c r="B16" s="527">
        <v>3</v>
      </c>
      <c r="C16" s="1492" t="s">
        <v>325</v>
      </c>
      <c r="D16" s="1493"/>
      <c r="E16" s="606">
        <v>0</v>
      </c>
      <c r="F16" s="606">
        <v>0</v>
      </c>
      <c r="G16" s="528">
        <f>'HSZ do złotówek'!I$59</f>
        <v>0</v>
      </c>
      <c r="H16" s="528">
        <f>'HSZ do złotówek'!J$59</f>
        <v>0</v>
      </c>
      <c r="I16" s="528">
        <f>'HSZ do złotówek'!K$59</f>
        <v>0</v>
      </c>
      <c r="J16" s="528">
        <f>'HSZ do złotówek'!L$59</f>
        <v>535004</v>
      </c>
      <c r="K16" s="528">
        <f>'HSZ do złotówek'!M$59</f>
        <v>0</v>
      </c>
      <c r="L16" s="528">
        <f>'HSZ do złotówek'!N$59</f>
        <v>535004</v>
      </c>
      <c r="M16" s="528">
        <f>'HSZ do złotówek'!O$59</f>
        <v>0</v>
      </c>
      <c r="N16" s="528">
        <f>'HSZ do złotówek'!P$59</f>
        <v>535004</v>
      </c>
      <c r="O16" s="528">
        <f>'HSZ do złotówek'!Q$59</f>
        <v>0</v>
      </c>
      <c r="P16" s="528">
        <f>'HSZ do złotówek'!R$59</f>
        <v>535004</v>
      </c>
      <c r="Q16" s="528">
        <f>'HSZ do złotówek'!S$59</f>
        <v>0</v>
      </c>
      <c r="R16" s="528">
        <f>'HSZ do złotówek'!T$59</f>
        <v>546528</v>
      </c>
      <c r="S16" s="528">
        <f>'HSZ do złotówek'!U$59</f>
        <v>0</v>
      </c>
      <c r="T16" s="528">
        <f>'HSZ do złotówek'!V$59</f>
        <v>550904</v>
      </c>
      <c r="U16" s="528">
        <f>'HSZ do złotówek'!W$59</f>
        <v>1300000</v>
      </c>
      <c r="V16" s="528">
        <f>'HSZ do złotówek'!X$59</f>
        <v>588178</v>
      </c>
      <c r="W16" s="528">
        <f>'HSZ do złotówek'!Y$59</f>
        <v>4243402</v>
      </c>
      <c r="X16" s="528">
        <f>'HSZ do złotówek'!Z$59</f>
        <v>515016</v>
      </c>
      <c r="Y16" s="528">
        <f>'HSZ do złotówek'!AA$59</f>
        <v>6092407</v>
      </c>
      <c r="Z16" s="528">
        <f>'HSZ do złotówek'!AB$59</f>
        <v>306815</v>
      </c>
      <c r="AA16" s="528">
        <f>'HSZ do złotówek'!AC$59</f>
        <v>895589</v>
      </c>
      <c r="AB16" s="528">
        <f>'HSZ do złotówek'!AD$59</f>
        <v>98887</v>
      </c>
      <c r="AC16" s="528">
        <f>'HSZ do złotówek'!AE$59</f>
        <v>1267653</v>
      </c>
      <c r="AD16" s="528">
        <f>'HSZ do złotówek'!AF$59</f>
        <v>55017</v>
      </c>
    </row>
    <row r="17" spans="1:30" ht="13.5" thickBot="1">
      <c r="A17" s="519"/>
      <c r="B17" s="533"/>
      <c r="C17" s="1507" t="s">
        <v>125</v>
      </c>
      <c r="D17" s="1508"/>
      <c r="E17" s="534">
        <f t="shared" ref="E17:AD17" si="3">E12</f>
        <v>0</v>
      </c>
      <c r="F17" s="534">
        <f t="shared" si="3"/>
        <v>0</v>
      </c>
      <c r="G17" s="534">
        <f t="shared" si="3"/>
        <v>0</v>
      </c>
      <c r="H17" s="534">
        <f t="shared" si="3"/>
        <v>0</v>
      </c>
      <c r="I17" s="534">
        <f t="shared" si="3"/>
        <v>0</v>
      </c>
      <c r="J17" s="534">
        <f t="shared" si="3"/>
        <v>535004</v>
      </c>
      <c r="K17" s="534">
        <f t="shared" si="3"/>
        <v>0</v>
      </c>
      <c r="L17" s="534">
        <f t="shared" si="3"/>
        <v>535004</v>
      </c>
      <c r="M17" s="534">
        <f t="shared" si="3"/>
        <v>0</v>
      </c>
      <c r="N17" s="534">
        <f t="shared" si="3"/>
        <v>535004</v>
      </c>
      <c r="O17" s="534">
        <f t="shared" si="3"/>
        <v>0</v>
      </c>
      <c r="P17" s="534">
        <f t="shared" si="3"/>
        <v>535004</v>
      </c>
      <c r="Q17" s="534">
        <f t="shared" si="3"/>
        <v>0</v>
      </c>
      <c r="R17" s="534">
        <f t="shared" si="3"/>
        <v>546528</v>
      </c>
      <c r="S17" s="534">
        <f t="shared" si="3"/>
        <v>0</v>
      </c>
      <c r="T17" s="534">
        <f t="shared" si="3"/>
        <v>550904</v>
      </c>
      <c r="U17" s="534">
        <f t="shared" si="3"/>
        <v>1300000</v>
      </c>
      <c r="V17" s="534">
        <f t="shared" si="3"/>
        <v>588178</v>
      </c>
      <c r="W17" s="534">
        <f t="shared" si="3"/>
        <v>4243402</v>
      </c>
      <c r="X17" s="534">
        <f t="shared" si="3"/>
        <v>515016</v>
      </c>
      <c r="Y17" s="534">
        <f t="shared" si="3"/>
        <v>6092407</v>
      </c>
      <c r="Z17" s="534">
        <f t="shared" si="3"/>
        <v>306815</v>
      </c>
      <c r="AA17" s="534">
        <f t="shared" si="3"/>
        <v>895589</v>
      </c>
      <c r="AB17" s="534">
        <f t="shared" si="3"/>
        <v>98887</v>
      </c>
      <c r="AC17" s="534">
        <f t="shared" si="3"/>
        <v>1267653</v>
      </c>
      <c r="AD17" s="534">
        <f t="shared" si="3"/>
        <v>55017</v>
      </c>
    </row>
    <row r="18" spans="1:30" ht="39" customHeight="1">
      <c r="A18" s="519"/>
      <c r="B18" s="531" t="s">
        <v>37</v>
      </c>
      <c r="C18" s="1496" t="s">
        <v>328</v>
      </c>
      <c r="D18" s="1497"/>
      <c r="E18" s="532">
        <f t="shared" ref="E18:AD18" si="4">SUM(E20:E22)</f>
        <v>0</v>
      </c>
      <c r="F18" s="532">
        <f t="shared" si="4"/>
        <v>0</v>
      </c>
      <c r="G18" s="532">
        <f t="shared" si="4"/>
        <v>0</v>
      </c>
      <c r="H18" s="532">
        <f t="shared" si="4"/>
        <v>521588</v>
      </c>
      <c r="I18" s="532">
        <f t="shared" si="4"/>
        <v>0</v>
      </c>
      <c r="J18" s="532">
        <f t="shared" si="4"/>
        <v>521588</v>
      </c>
      <c r="K18" s="532">
        <f t="shared" si="4"/>
        <v>0</v>
      </c>
      <c r="L18" s="532">
        <f t="shared" si="4"/>
        <v>521588</v>
      </c>
      <c r="M18" s="532">
        <f t="shared" si="4"/>
        <v>0</v>
      </c>
      <c r="N18" s="532">
        <f t="shared" si="4"/>
        <v>521588</v>
      </c>
      <c r="O18" s="532">
        <f t="shared" si="4"/>
        <v>0</v>
      </c>
      <c r="P18" s="532">
        <f t="shared" si="4"/>
        <v>521588</v>
      </c>
      <c r="Q18" s="532">
        <f t="shared" si="4"/>
        <v>2000000</v>
      </c>
      <c r="R18" s="532">
        <f t="shared" si="4"/>
        <v>521588</v>
      </c>
      <c r="S18" s="532">
        <f t="shared" si="4"/>
        <v>3000000</v>
      </c>
      <c r="T18" s="532">
        <f t="shared" si="4"/>
        <v>427788</v>
      </c>
      <c r="U18" s="532">
        <f t="shared" si="4"/>
        <v>4000000</v>
      </c>
      <c r="V18" s="532">
        <f t="shared" si="4"/>
        <v>233633</v>
      </c>
      <c r="W18" s="532">
        <f t="shared" si="4"/>
        <v>0</v>
      </c>
      <c r="X18" s="532">
        <f t="shared" si="4"/>
        <v>0</v>
      </c>
      <c r="Y18" s="532">
        <f t="shared" si="4"/>
        <v>0</v>
      </c>
      <c r="Z18" s="532">
        <f t="shared" si="4"/>
        <v>0</v>
      </c>
      <c r="AA18" s="532">
        <f t="shared" si="4"/>
        <v>0</v>
      </c>
      <c r="AB18" s="532">
        <f t="shared" si="4"/>
        <v>0</v>
      </c>
      <c r="AC18" s="532">
        <f t="shared" si="4"/>
        <v>0</v>
      </c>
      <c r="AD18" s="532">
        <f t="shared" si="4"/>
        <v>0</v>
      </c>
    </row>
    <row r="19" spans="1:30">
      <c r="A19" s="519"/>
      <c r="B19" s="523"/>
      <c r="C19" s="524" t="s">
        <v>327</v>
      </c>
      <c r="D19" s="524"/>
      <c r="E19" s="525"/>
      <c r="F19" s="525"/>
      <c r="G19" s="525"/>
      <c r="H19" s="525"/>
      <c r="I19" s="525"/>
      <c r="J19" s="526"/>
      <c r="K19" s="525"/>
      <c r="L19" s="525"/>
      <c r="M19" s="525"/>
      <c r="N19" s="525"/>
      <c r="O19" s="525"/>
      <c r="P19" s="525"/>
      <c r="Q19" s="525"/>
      <c r="R19" s="525"/>
      <c r="S19" s="525"/>
      <c r="T19" s="526"/>
      <c r="U19" s="525"/>
      <c r="V19" s="525"/>
      <c r="W19" s="525"/>
      <c r="X19" s="525"/>
      <c r="Y19" s="525"/>
      <c r="Z19" s="525"/>
      <c r="AA19" s="525"/>
      <c r="AB19" s="525"/>
      <c r="AC19" s="525"/>
      <c r="AD19" s="526"/>
    </row>
    <row r="20" spans="1:30">
      <c r="A20" s="519"/>
      <c r="B20" s="521">
        <v>1</v>
      </c>
      <c r="C20" s="1490" t="s">
        <v>323</v>
      </c>
      <c r="D20" s="1491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</row>
    <row r="21" spans="1:30">
      <c r="A21" s="519"/>
      <c r="B21" s="521">
        <v>2</v>
      </c>
      <c r="C21" s="1490" t="s">
        <v>324</v>
      </c>
      <c r="D21" s="1491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</row>
    <row r="22" spans="1:30" ht="25.5" customHeight="1" thickBot="1">
      <c r="A22" s="519"/>
      <c r="B22" s="527">
        <v>3</v>
      </c>
      <c r="C22" s="1492" t="s">
        <v>325</v>
      </c>
      <c r="D22" s="1493"/>
      <c r="E22" s="528">
        <f>'HSZ do złotówek'!G44</f>
        <v>0</v>
      </c>
      <c r="F22" s="528">
        <f>'HSZ do złotówek'!H44</f>
        <v>0</v>
      </c>
      <c r="G22" s="528">
        <f>'HSZ do złotówek'!I44</f>
        <v>0</v>
      </c>
      <c r="H22" s="528">
        <f>'HSZ do złotówek'!J44</f>
        <v>521588</v>
      </c>
      <c r="I22" s="528">
        <f>'HSZ do złotówek'!K44</f>
        <v>0</v>
      </c>
      <c r="J22" s="528">
        <f>'HSZ do złotówek'!L44</f>
        <v>521588</v>
      </c>
      <c r="K22" s="528">
        <f>'HSZ do złotówek'!M44</f>
        <v>0</v>
      </c>
      <c r="L22" s="528">
        <f>'HSZ do złotówek'!N44</f>
        <v>521588</v>
      </c>
      <c r="M22" s="528">
        <f>'HSZ do złotówek'!O44</f>
        <v>0</v>
      </c>
      <c r="N22" s="528">
        <f>'HSZ do złotówek'!P44</f>
        <v>521588</v>
      </c>
      <c r="O22" s="528">
        <f>'HSZ do złotówek'!Q44</f>
        <v>0</v>
      </c>
      <c r="P22" s="528">
        <f>'HSZ do złotówek'!R44</f>
        <v>521588</v>
      </c>
      <c r="Q22" s="528">
        <f>'HSZ do złotówek'!S44</f>
        <v>2000000</v>
      </c>
      <c r="R22" s="528">
        <f>'HSZ do złotówek'!T44</f>
        <v>521588</v>
      </c>
      <c r="S22" s="528">
        <f>'HSZ do złotówek'!U44</f>
        <v>3000000</v>
      </c>
      <c r="T22" s="528">
        <f>'HSZ do złotówek'!V44</f>
        <v>427788</v>
      </c>
      <c r="U22" s="528">
        <f>'HSZ do złotówek'!W44</f>
        <v>4000000</v>
      </c>
      <c r="V22" s="528">
        <f>'HSZ do złotówek'!X44</f>
        <v>233633</v>
      </c>
      <c r="W22" s="528">
        <f>'HSZ do złotówek'!Y44</f>
        <v>0</v>
      </c>
      <c r="X22" s="528">
        <f>'HSZ do złotówek'!Z44</f>
        <v>0</v>
      </c>
      <c r="Y22" s="528">
        <f>'HSZ do złotówek'!AA44</f>
        <v>0</v>
      </c>
      <c r="Z22" s="528">
        <f>'HSZ do złotówek'!AB44</f>
        <v>0</v>
      </c>
      <c r="AA22" s="528">
        <f>'HSZ do złotówek'!AC44</f>
        <v>0</v>
      </c>
      <c r="AB22" s="528">
        <f>'HSZ do złotówek'!AD44</f>
        <v>0</v>
      </c>
      <c r="AC22" s="528">
        <f>'HSZ do złotówek'!AE44</f>
        <v>0</v>
      </c>
      <c r="AD22" s="528">
        <f>'HSZ do złotówek'!AF44</f>
        <v>0</v>
      </c>
    </row>
    <row r="23" spans="1:30" ht="13.5" thickBot="1">
      <c r="A23" s="519"/>
      <c r="B23" s="535"/>
      <c r="C23" s="1500" t="s">
        <v>125</v>
      </c>
      <c r="D23" s="1501"/>
      <c r="E23" s="536">
        <f t="shared" ref="E23:AD23" si="5">E18</f>
        <v>0</v>
      </c>
      <c r="F23" s="536">
        <f t="shared" si="5"/>
        <v>0</v>
      </c>
      <c r="G23" s="536">
        <f t="shared" si="5"/>
        <v>0</v>
      </c>
      <c r="H23" s="536">
        <f t="shared" si="5"/>
        <v>521588</v>
      </c>
      <c r="I23" s="536">
        <f t="shared" si="5"/>
        <v>0</v>
      </c>
      <c r="J23" s="536">
        <f t="shared" si="5"/>
        <v>521588</v>
      </c>
      <c r="K23" s="536">
        <f t="shared" si="5"/>
        <v>0</v>
      </c>
      <c r="L23" s="536">
        <f t="shared" si="5"/>
        <v>521588</v>
      </c>
      <c r="M23" s="536">
        <f t="shared" si="5"/>
        <v>0</v>
      </c>
      <c r="N23" s="536">
        <f t="shared" si="5"/>
        <v>521588</v>
      </c>
      <c r="O23" s="536">
        <f t="shared" si="5"/>
        <v>0</v>
      </c>
      <c r="P23" s="536">
        <f t="shared" si="5"/>
        <v>521588</v>
      </c>
      <c r="Q23" s="536">
        <f t="shared" si="5"/>
        <v>2000000</v>
      </c>
      <c r="R23" s="536">
        <f t="shared" si="5"/>
        <v>521588</v>
      </c>
      <c r="S23" s="536">
        <f t="shared" si="5"/>
        <v>3000000</v>
      </c>
      <c r="T23" s="536">
        <f t="shared" si="5"/>
        <v>427788</v>
      </c>
      <c r="U23" s="536">
        <f t="shared" si="5"/>
        <v>4000000</v>
      </c>
      <c r="V23" s="536">
        <f t="shared" si="5"/>
        <v>233633</v>
      </c>
      <c r="W23" s="536">
        <f t="shared" si="5"/>
        <v>0</v>
      </c>
      <c r="X23" s="536">
        <f t="shared" si="5"/>
        <v>0</v>
      </c>
      <c r="Y23" s="536">
        <f t="shared" si="5"/>
        <v>0</v>
      </c>
      <c r="Z23" s="536">
        <f t="shared" si="5"/>
        <v>0</v>
      </c>
      <c r="AA23" s="536">
        <f t="shared" si="5"/>
        <v>0</v>
      </c>
      <c r="AB23" s="536">
        <f t="shared" si="5"/>
        <v>0</v>
      </c>
      <c r="AC23" s="536">
        <f t="shared" si="5"/>
        <v>0</v>
      </c>
      <c r="AD23" s="536">
        <f t="shared" si="5"/>
        <v>0</v>
      </c>
    </row>
    <row r="24" spans="1:30" ht="14.25" thickTop="1" thickBot="1">
      <c r="A24" s="519"/>
      <c r="B24" s="537"/>
      <c r="C24" s="1502" t="s">
        <v>329</v>
      </c>
      <c r="D24" s="1503"/>
      <c r="E24" s="538">
        <f>IF(SUM(E23+E17+E11)='HSZ do złotówek'!G$63,SUM(E23+E17+E11),"błąd")</f>
        <v>6998867</v>
      </c>
      <c r="F24" s="538">
        <f>IF(SUM(F23+F17+F11)='HSZ do złotówek'!H$63,SUM(F23+F17+F11),"błąd")</f>
        <v>2173467</v>
      </c>
      <c r="G24" s="538">
        <f>IF(SUM(G23+G17+G11)='HSZ do złotówek'!I$63,SUM(G23+G17+G11),"błąd")</f>
        <v>10160865</v>
      </c>
      <c r="H24" s="538" t="str">
        <f>IF(SUM(H23+H17+H11)='HSZ do złotówek'!J$63,SUM(H23+H17+H11),"błąd")</f>
        <v>błąd</v>
      </c>
      <c r="I24" s="538">
        <f>IF(SUM(I23+I17+I11)='HSZ do złotówek'!K$63,SUM(I23+I17+I11),"błąd")</f>
        <v>4101396</v>
      </c>
      <c r="J24" s="538" t="str">
        <f>IF(SUM(J23+J17+J11)='HSZ do złotówek'!L$63,SUM(J23+J17+J11),"błąd")</f>
        <v>błąd</v>
      </c>
      <c r="K24" s="538" t="str">
        <f>IF(SUM(K23+K17+K11)='HSZ do złotówek'!M$63,SUM(K23+K17+K11),"błąd")</f>
        <v>błąd</v>
      </c>
      <c r="L24" s="538" t="str">
        <f>IF(SUM(L23+L17+L11)='HSZ do złotówek'!N$63,SUM(L23+L17+L11),"błąd")</f>
        <v>błąd</v>
      </c>
      <c r="M24" s="538" t="str">
        <f>IF(SUM(M23+M17+M11)='HSZ do złotówek'!O$63,SUM(M23+M17+M11),"błąd")</f>
        <v>błąd</v>
      </c>
      <c r="N24" s="538" t="str">
        <f>IF(SUM(N23+N17+N11)='HSZ do złotówek'!P$63,SUM(N23+N17+N11),"błąd")</f>
        <v>błąd</v>
      </c>
      <c r="O24" s="538" t="str">
        <f>IF(SUM(O23+O17+O11)='HSZ do złotówek'!Q$63,SUM(O23+O17+O11),"błąd")</f>
        <v>błąd</v>
      </c>
      <c r="P24" s="538" t="str">
        <f>IF(SUM(P23+P17+P11)='HSZ do złotówek'!R$63,SUM(P23+P17+P11),"błąd")</f>
        <v>błąd</v>
      </c>
      <c r="Q24" s="538" t="str">
        <f>IF(SUM(Q23+Q17+Q11)='HSZ do złotówek'!S$63,SUM(Q23+Q17+Q11),"błąd")</f>
        <v>błąd</v>
      </c>
      <c r="R24" s="538" t="str">
        <f>IF(SUM(R23+R17+R11)='HSZ do złotówek'!T$63,SUM(R23+R17+R11),"błąd")</f>
        <v>błąd</v>
      </c>
      <c r="S24" s="538" t="str">
        <f>IF(SUM(S23+S17+S11)='HSZ do złotówek'!U$63,SUM(S23+S17+S11),"błąd")</f>
        <v>błąd</v>
      </c>
      <c r="T24" s="538" t="str">
        <f>IF(SUM(T23+T17+T11)='HSZ do złotówek'!V$63,SUM(T23+T17+T11),"błąd")</f>
        <v>błąd</v>
      </c>
      <c r="U24" s="538" t="str">
        <f>IF(SUM(U23+U17+U11)='HSZ do złotówek'!W$63,SUM(U23+U17+U11),"błąd")</f>
        <v>błąd</v>
      </c>
      <c r="V24" s="538" t="str">
        <f>IF(SUM(V23+V17+V11)='HSZ do złotówek'!X$63,SUM(V23+V17+V11),"błąd")</f>
        <v>błąd</v>
      </c>
      <c r="W24" s="538" t="str">
        <f>IF(SUM(W23+W17+W11)='HSZ do złotówek'!Y$63,SUM(W23+W17+W11),"błąd")</f>
        <v>błąd</v>
      </c>
      <c r="X24" s="538" t="str">
        <f>IF(SUM(X23+X17+X11)='HSZ do złotówek'!Z$63,SUM(X23+X17+X11),"błąd")</f>
        <v>błąd</v>
      </c>
      <c r="Y24" s="538" t="str">
        <f>IF(SUM(Y23+Y17+Y11)='HSZ do złotówek'!AA$63,SUM(Y23+Y17+Y11),"błąd")</f>
        <v>błąd</v>
      </c>
      <c r="Z24" s="538" t="str">
        <f>IF(SUM(Z23+Z17+Z11)='HSZ do złotówek'!AB$63,SUM(Z23+Z17+Z11),"błąd")</f>
        <v>błąd</v>
      </c>
      <c r="AA24" s="538" t="str">
        <f>IF(SUM(AA23+AA17+AA11)='HSZ do złotówek'!AC$63,SUM(AA23+AA17+AA11),"błąd")</f>
        <v>błąd</v>
      </c>
      <c r="AB24" s="538" t="str">
        <f>IF(SUM(AB23+AB17+AB11)='HSZ do złotówek'!AD$63,SUM(AB23+AB17+AB11),"błąd")</f>
        <v>błąd</v>
      </c>
      <c r="AC24" s="538" t="str">
        <f>IF(SUM(AC23+AC17+AC11)='HSZ do złotówek'!AE$63,SUM(AC23+AC17+AC11),"błąd")</f>
        <v>błąd</v>
      </c>
      <c r="AD24" s="538" t="str">
        <f>IF(SUM(AD23+AD17+AD11)='HSZ do złotówek'!AF$63,SUM(AD23+AD17+AD11),"błąd")</f>
        <v>błąd</v>
      </c>
    </row>
    <row r="25" spans="1:30" s="543" customFormat="1" ht="13.5" thickTop="1">
      <c r="A25" s="539"/>
      <c r="B25" s="540"/>
      <c r="C25" s="541"/>
      <c r="D25" s="541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</row>
    <row r="26" spans="1:30" s="547" customFormat="1" ht="25.5" customHeight="1">
      <c r="A26" s="544"/>
      <c r="B26" s="545"/>
      <c r="C26" s="1504" t="s">
        <v>330</v>
      </c>
      <c r="D26" s="1504"/>
      <c r="E26" s="546">
        <f>E8+E9+E14+E15+E20+E21</f>
        <v>698867</v>
      </c>
      <c r="F26" s="546">
        <f t="shared" ref="F26:AD26" si="6">F8+F9+F14+F15+F20+F21</f>
        <v>76571</v>
      </c>
      <c r="G26" s="546">
        <f t="shared" si="6"/>
        <v>660865</v>
      </c>
      <c r="H26" s="546">
        <f t="shared" si="6"/>
        <v>294826</v>
      </c>
      <c r="I26" s="546">
        <f t="shared" si="6"/>
        <v>601396</v>
      </c>
      <c r="J26" s="546">
        <f t="shared" si="6"/>
        <v>484819</v>
      </c>
      <c r="K26" s="546">
        <f t="shared" si="6"/>
        <v>1276341</v>
      </c>
      <c r="L26" s="546">
        <f t="shared" si="6"/>
        <v>714238</v>
      </c>
      <c r="M26" s="546">
        <f t="shared" si="6"/>
        <v>1649637</v>
      </c>
      <c r="N26" s="546">
        <f t="shared" si="6"/>
        <v>725545</v>
      </c>
      <c r="O26" s="546">
        <f t="shared" si="6"/>
        <v>1620325</v>
      </c>
      <c r="P26" s="546">
        <f t="shared" si="6"/>
        <v>654836</v>
      </c>
      <c r="Q26" s="546">
        <f t="shared" si="6"/>
        <v>1569330</v>
      </c>
      <c r="R26" s="546">
        <f t="shared" si="6"/>
        <v>584835</v>
      </c>
      <c r="S26" s="546">
        <f t="shared" si="6"/>
        <v>1472512</v>
      </c>
      <c r="T26" s="546">
        <f t="shared" si="6"/>
        <v>516570</v>
      </c>
      <c r="U26" s="546">
        <f t="shared" si="6"/>
        <v>1452169</v>
      </c>
      <c r="V26" s="546">
        <f t="shared" si="6"/>
        <v>450019</v>
      </c>
      <c r="W26" s="546">
        <f t="shared" si="6"/>
        <v>1452169</v>
      </c>
      <c r="X26" s="546">
        <f t="shared" si="6"/>
        <v>383039</v>
      </c>
      <c r="Y26" s="546">
        <f t="shared" si="6"/>
        <v>1452169</v>
      </c>
      <c r="Z26" s="546">
        <f t="shared" si="6"/>
        <v>315568</v>
      </c>
      <c r="AA26" s="546">
        <f t="shared" si="6"/>
        <v>1452169</v>
      </c>
      <c r="AB26" s="546">
        <f t="shared" si="6"/>
        <v>247592</v>
      </c>
      <c r="AC26" s="546">
        <f t="shared" si="6"/>
        <v>1452169</v>
      </c>
      <c r="AD26" s="546">
        <f t="shared" si="6"/>
        <v>179098</v>
      </c>
    </row>
    <row r="27" spans="1:30" s="543" customFormat="1" ht="6.75" customHeight="1">
      <c r="A27" s="539"/>
      <c r="B27" s="540"/>
      <c r="C27" s="541"/>
      <c r="D27" s="541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</row>
    <row r="28" spans="1:30" s="547" customFormat="1" ht="25.5" customHeight="1">
      <c r="A28" s="544"/>
      <c r="B28" s="548"/>
      <c r="C28" s="549" t="s">
        <v>331</v>
      </c>
      <c r="D28" s="549"/>
      <c r="E28" s="550">
        <f>E10+E16+E22</f>
        <v>6300000</v>
      </c>
      <c r="F28" s="550">
        <f t="shared" ref="F28:AD28" si="7">F10+F16+F22</f>
        <v>2096896</v>
      </c>
      <c r="G28" s="550">
        <f t="shared" si="7"/>
        <v>9500000</v>
      </c>
      <c r="H28" s="550">
        <f t="shared" si="7"/>
        <v>2643819</v>
      </c>
      <c r="I28" s="550">
        <f t="shared" si="7"/>
        <v>3500000</v>
      </c>
      <c r="J28" s="550">
        <f t="shared" si="7"/>
        <v>2641266</v>
      </c>
      <c r="K28" s="550">
        <f t="shared" si="7"/>
        <v>3900000</v>
      </c>
      <c r="L28" s="550">
        <f t="shared" si="7"/>
        <v>2387525</v>
      </c>
      <c r="M28" s="550">
        <f t="shared" si="7"/>
        <v>6000000</v>
      </c>
      <c r="N28" s="550">
        <f t="shared" si="7"/>
        <v>2079865</v>
      </c>
      <c r="O28" s="550">
        <f t="shared" si="7"/>
        <v>6000000</v>
      </c>
      <c r="P28" s="550">
        <f t="shared" si="7"/>
        <v>1821916</v>
      </c>
      <c r="Q28" s="550">
        <f t="shared" si="7"/>
        <v>6000000</v>
      </c>
      <c r="R28" s="550">
        <f t="shared" si="7"/>
        <v>1477426</v>
      </c>
      <c r="S28" s="550">
        <f t="shared" si="7"/>
        <v>7000000</v>
      </c>
      <c r="T28" s="550">
        <f t="shared" si="7"/>
        <v>1183347</v>
      </c>
      <c r="U28" s="550">
        <f t="shared" si="7"/>
        <v>5300000</v>
      </c>
      <c r="V28" s="550">
        <f t="shared" si="7"/>
        <v>821811</v>
      </c>
      <c r="W28" s="550">
        <f t="shared" si="7"/>
        <v>4243402</v>
      </c>
      <c r="X28" s="550">
        <f t="shared" si="7"/>
        <v>515016</v>
      </c>
      <c r="Y28" s="550">
        <f t="shared" si="7"/>
        <v>6092407</v>
      </c>
      <c r="Z28" s="550">
        <f t="shared" si="7"/>
        <v>306815</v>
      </c>
      <c r="AA28" s="550">
        <f t="shared" si="7"/>
        <v>895589</v>
      </c>
      <c r="AB28" s="550">
        <f t="shared" si="7"/>
        <v>98887</v>
      </c>
      <c r="AC28" s="550">
        <f t="shared" si="7"/>
        <v>1267653</v>
      </c>
      <c r="AD28" s="550">
        <f t="shared" si="7"/>
        <v>55017</v>
      </c>
    </row>
    <row r="32" spans="1:30">
      <c r="C32" s="551"/>
      <c r="D32" s="551"/>
      <c r="I32" s="1505">
        <f ca="1">TODAY()</f>
        <v>41291</v>
      </c>
      <c r="J32" s="1506"/>
      <c r="O32" s="552"/>
      <c r="P32" s="552"/>
      <c r="Y32" s="552"/>
      <c r="Z32" s="552"/>
    </row>
    <row r="33" spans="3:26">
      <c r="C33" s="1498" t="s">
        <v>332</v>
      </c>
      <c r="D33" s="1498"/>
      <c r="I33" s="1498" t="s">
        <v>333</v>
      </c>
      <c r="J33" s="1498"/>
      <c r="O33" s="1498" t="s">
        <v>334</v>
      </c>
      <c r="P33" s="1498"/>
      <c r="Y33" s="1498"/>
      <c r="Z33" s="1498"/>
    </row>
  </sheetData>
  <sheetProtection sheet="1" objects="1" scenarios="1" selectLockedCells="1" selectUnlockedCells="1"/>
  <mergeCells count="38"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  <mergeCell ref="C10:D10"/>
    <mergeCell ref="C11:D11"/>
    <mergeCell ref="C12:D12"/>
    <mergeCell ref="C14:D14"/>
    <mergeCell ref="C15:D15"/>
    <mergeCell ref="W4:X4"/>
    <mergeCell ref="Y4:Z4"/>
    <mergeCell ref="AA4:AB4"/>
    <mergeCell ref="AC4:AD4"/>
    <mergeCell ref="C6:D6"/>
    <mergeCell ref="S4:T4"/>
    <mergeCell ref="U4:V4"/>
    <mergeCell ref="C8:D8"/>
    <mergeCell ref="K4:L4"/>
    <mergeCell ref="M4:N4"/>
    <mergeCell ref="O4:P4"/>
    <mergeCell ref="Q4:R4"/>
    <mergeCell ref="B4:B5"/>
    <mergeCell ref="C4:D5"/>
    <mergeCell ref="E4:F4"/>
    <mergeCell ref="G4:H4"/>
    <mergeCell ref="I4:J4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X119"/>
  <sheetViews>
    <sheetView zoomScale="90" zoomScaleNormal="90" zoomScaleSheetLayoutView="100" workbookViewId="0">
      <pane xSplit="2" ySplit="4" topLeftCell="I8" activePane="bottomRight" state="frozen"/>
      <selection activeCell="N51" sqref="N51"/>
      <selection pane="topRight" activeCell="N51" sqref="N51"/>
      <selection pane="bottomLeft" activeCell="N51" sqref="N51"/>
      <selection pane="bottomRight" activeCell="I38" sqref="I38"/>
    </sheetView>
  </sheetViews>
  <sheetFormatPr defaultColWidth="0" defaultRowHeight="0" customHeight="1" zeroHeight="1"/>
  <cols>
    <col min="1" max="1" width="22.7109375" customWidth="1"/>
    <col min="2" max="6" width="14.7109375" customWidth="1"/>
    <col min="7" max="7" width="3.5703125" hidden="1" customWidth="1"/>
    <col min="8" max="8" width="3.7109375" hidden="1" customWidth="1"/>
    <col min="9" max="44" width="14.7109375" customWidth="1"/>
    <col min="45" max="46" width="9.140625" customWidth="1"/>
    <col min="47" max="47" width="24.7109375" customWidth="1"/>
    <col min="48" max="102" width="14.7109375" customWidth="1"/>
    <col min="103" max="103" width="9.140625" customWidth="1"/>
  </cols>
  <sheetData>
    <row r="1" spans="1:102" ht="12.75"/>
    <row r="2" spans="1:102" ht="18" customHeight="1" thickBot="1">
      <c r="A2" s="1564" t="s">
        <v>259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1564"/>
      <c r="Y2" s="1564"/>
      <c r="Z2" s="1564"/>
      <c r="AA2" s="1564"/>
      <c r="AB2" s="1564"/>
      <c r="AC2" s="1564"/>
      <c r="AD2" s="1564"/>
      <c r="AE2" s="1564"/>
      <c r="AF2" s="1564"/>
      <c r="AG2" s="1564"/>
      <c r="AH2" s="1564"/>
      <c r="AI2" s="772"/>
      <c r="AJ2" s="772"/>
      <c r="AK2" s="772"/>
      <c r="AL2" s="772"/>
      <c r="AM2" s="772"/>
      <c r="AN2" s="772"/>
      <c r="AO2" s="772"/>
      <c r="AP2" s="772"/>
      <c r="AQ2" s="772"/>
      <c r="AR2" s="772"/>
    </row>
    <row r="3" spans="1:102" ht="13.5" customHeight="1">
      <c r="A3" s="1565"/>
      <c r="B3" s="1567" t="s">
        <v>260</v>
      </c>
      <c r="C3" s="1569" t="s">
        <v>261</v>
      </c>
      <c r="D3" s="1570"/>
      <c r="E3" s="1571" t="s">
        <v>445</v>
      </c>
      <c r="F3" s="1572"/>
      <c r="G3" s="1575" t="s">
        <v>263</v>
      </c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785"/>
      <c r="AJ3" s="786"/>
      <c r="AK3" s="786"/>
      <c r="AL3" s="786"/>
      <c r="AM3" s="786"/>
      <c r="AN3" s="786"/>
      <c r="AO3" s="786"/>
      <c r="AP3" s="786"/>
      <c r="AQ3" s="786"/>
      <c r="AR3" s="787"/>
      <c r="AU3" s="1552"/>
      <c r="AV3" s="1554" t="s">
        <v>260</v>
      </c>
      <c r="AW3" s="1556" t="s">
        <v>264</v>
      </c>
      <c r="AX3" s="1557"/>
      <c r="AY3" s="1557"/>
      <c r="AZ3" s="1557"/>
      <c r="BA3" s="1557"/>
      <c r="BB3" s="1557"/>
      <c r="BC3" s="1557"/>
      <c r="BD3" s="1557"/>
      <c r="BE3" s="1557"/>
      <c r="BF3" s="1557"/>
      <c r="BG3" s="1557"/>
      <c r="BH3" s="1557"/>
      <c r="BI3" s="1557"/>
      <c r="BJ3" s="1557"/>
      <c r="BK3" s="1557"/>
      <c r="BL3" s="1557"/>
      <c r="BM3" s="1557"/>
      <c r="BN3" s="1557"/>
      <c r="BO3" s="1557"/>
      <c r="BP3" s="1557"/>
      <c r="BQ3" s="1557"/>
      <c r="BR3" s="1557"/>
      <c r="BS3" s="1557"/>
      <c r="BT3" s="1557"/>
      <c r="BU3" s="1557"/>
      <c r="BV3" s="1557"/>
      <c r="BW3" s="1557"/>
      <c r="BX3" s="1557"/>
      <c r="BY3" s="1557"/>
      <c r="BZ3" s="1557"/>
      <c r="CA3" s="1557"/>
      <c r="CB3" s="1557"/>
      <c r="CC3" s="1557"/>
      <c r="CD3" s="1557"/>
      <c r="CE3" s="1557"/>
      <c r="CF3" s="1557"/>
      <c r="CG3" s="1557"/>
      <c r="CH3" s="1557"/>
      <c r="CI3" s="1557"/>
      <c r="CJ3" s="1557"/>
      <c r="CK3" s="1557"/>
      <c r="CL3" s="1557"/>
      <c r="CM3" s="1557"/>
      <c r="CN3" s="1557"/>
      <c r="CO3" s="1557"/>
      <c r="CP3" s="1557"/>
      <c r="CQ3" s="1557"/>
      <c r="CR3" s="1557"/>
      <c r="CS3" s="1557"/>
      <c r="CT3" s="1557"/>
      <c r="CU3" s="1557"/>
      <c r="CV3" s="1557"/>
      <c r="CW3" s="1557"/>
      <c r="CX3" s="1558"/>
    </row>
    <row r="4" spans="1:102" ht="27" customHeight="1" thickBot="1">
      <c r="A4" s="1566"/>
      <c r="B4" s="1568"/>
      <c r="C4" s="1550">
        <v>2011</v>
      </c>
      <c r="D4" s="1550"/>
      <c r="E4" s="1573"/>
      <c r="F4" s="1574"/>
      <c r="G4" s="1563">
        <v>2012</v>
      </c>
      <c r="H4" s="1550"/>
      <c r="I4" s="1550">
        <f>G4+1</f>
        <v>2013</v>
      </c>
      <c r="J4" s="1550"/>
      <c r="K4" s="1550">
        <f>I4+1</f>
        <v>2014</v>
      </c>
      <c r="L4" s="1550"/>
      <c r="M4" s="1550">
        <f>K4+1</f>
        <v>2015</v>
      </c>
      <c r="N4" s="1550"/>
      <c r="O4" s="1550">
        <f>M4+1</f>
        <v>2016</v>
      </c>
      <c r="P4" s="1550"/>
      <c r="Q4" s="1550">
        <f>O4+1</f>
        <v>2017</v>
      </c>
      <c r="R4" s="1550"/>
      <c r="S4" s="1550">
        <f>Q4+1</f>
        <v>2018</v>
      </c>
      <c r="T4" s="1550"/>
      <c r="U4" s="1550">
        <f>S4+1</f>
        <v>2019</v>
      </c>
      <c r="V4" s="1550"/>
      <c r="W4" s="1550">
        <f>U4+1</f>
        <v>2020</v>
      </c>
      <c r="X4" s="1550"/>
      <c r="Y4" s="1550">
        <f>W4+1</f>
        <v>2021</v>
      </c>
      <c r="Z4" s="1550"/>
      <c r="AA4" s="1550">
        <f>Y4+1</f>
        <v>2022</v>
      </c>
      <c r="AB4" s="1550"/>
      <c r="AC4" s="1550">
        <f>AA4+1</f>
        <v>2023</v>
      </c>
      <c r="AD4" s="1550"/>
      <c r="AE4" s="1550">
        <f>AC4+1</f>
        <v>2024</v>
      </c>
      <c r="AF4" s="1550"/>
      <c r="AG4" s="1550">
        <f>AE4+1</f>
        <v>2025</v>
      </c>
      <c r="AH4" s="1551"/>
      <c r="AI4" s="1559">
        <f>AG4+1</f>
        <v>2026</v>
      </c>
      <c r="AJ4" s="1560"/>
      <c r="AK4" s="1562">
        <f>AI4+1</f>
        <v>2027</v>
      </c>
      <c r="AL4" s="1560"/>
      <c r="AM4" s="1562">
        <f>AK4+1</f>
        <v>2028</v>
      </c>
      <c r="AN4" s="1560"/>
      <c r="AO4" s="1562">
        <f>AM4+1</f>
        <v>2029</v>
      </c>
      <c r="AP4" s="1560"/>
      <c r="AQ4" s="1562">
        <f>AO4+1</f>
        <v>2030</v>
      </c>
      <c r="AR4" s="1560"/>
      <c r="AU4" s="1553"/>
      <c r="AV4" s="1555"/>
      <c r="AW4" s="1547">
        <v>2012</v>
      </c>
      <c r="AX4" s="1548"/>
      <c r="AY4" s="1549"/>
      <c r="AZ4" s="1547">
        <f>AW4+1</f>
        <v>2013</v>
      </c>
      <c r="BA4" s="1548"/>
      <c r="BB4" s="1549"/>
      <c r="BC4" s="1547">
        <f>AZ4+1</f>
        <v>2014</v>
      </c>
      <c r="BD4" s="1548"/>
      <c r="BE4" s="1549"/>
      <c r="BF4" s="1547">
        <f>BC4+1</f>
        <v>2015</v>
      </c>
      <c r="BG4" s="1548"/>
      <c r="BH4" s="1549"/>
      <c r="BI4" s="1547">
        <f>BF4+1</f>
        <v>2016</v>
      </c>
      <c r="BJ4" s="1548"/>
      <c r="BK4" s="1549"/>
      <c r="BL4" s="1547">
        <f>BI4+1</f>
        <v>2017</v>
      </c>
      <c r="BM4" s="1548"/>
      <c r="BN4" s="1549"/>
      <c r="BO4" s="1547">
        <f>BL4+1</f>
        <v>2018</v>
      </c>
      <c r="BP4" s="1548"/>
      <c r="BQ4" s="1549"/>
      <c r="BR4" s="1547">
        <f>BO4+1</f>
        <v>2019</v>
      </c>
      <c r="BS4" s="1548"/>
      <c r="BT4" s="1549"/>
      <c r="BU4" s="1547">
        <f>BR4+1</f>
        <v>2020</v>
      </c>
      <c r="BV4" s="1548"/>
      <c r="BW4" s="1549"/>
      <c r="BX4" s="1547">
        <f>BU4+1</f>
        <v>2021</v>
      </c>
      <c r="BY4" s="1548"/>
      <c r="BZ4" s="1549"/>
      <c r="CA4" s="1547">
        <f>BX4+1</f>
        <v>2022</v>
      </c>
      <c r="CB4" s="1548"/>
      <c r="CC4" s="1549"/>
      <c r="CD4" s="1547">
        <f>CA4+1</f>
        <v>2023</v>
      </c>
      <c r="CE4" s="1548"/>
      <c r="CF4" s="1549"/>
      <c r="CG4" s="1547">
        <f>CD4+1</f>
        <v>2024</v>
      </c>
      <c r="CH4" s="1548"/>
      <c r="CI4" s="1549"/>
      <c r="CJ4" s="1547">
        <f>CG4+1</f>
        <v>2025</v>
      </c>
      <c r="CK4" s="1548"/>
      <c r="CL4" s="1549"/>
      <c r="CM4" s="1547">
        <f>CJ4+1</f>
        <v>2026</v>
      </c>
      <c r="CN4" s="1548"/>
      <c r="CO4" s="1549"/>
      <c r="CP4" s="1547">
        <f>CM4+1</f>
        <v>2027</v>
      </c>
      <c r="CQ4" s="1548"/>
      <c r="CR4" s="1549"/>
      <c r="CS4" s="1547">
        <f>CP4+1</f>
        <v>2028</v>
      </c>
      <c r="CT4" s="1548"/>
      <c r="CU4" s="1549"/>
      <c r="CV4" s="1547">
        <f>CS4+1</f>
        <v>2029</v>
      </c>
      <c r="CW4" s="1548"/>
      <c r="CX4" s="1549"/>
    </row>
    <row r="5" spans="1:102" ht="12.75">
      <c r="A5" s="199" t="s">
        <v>265</v>
      </c>
      <c r="B5" s="200" t="s">
        <v>266</v>
      </c>
      <c r="C5" s="200" t="s">
        <v>267</v>
      </c>
      <c r="D5" s="200" t="s">
        <v>268</v>
      </c>
      <c r="E5" s="200" t="s">
        <v>267</v>
      </c>
      <c r="F5" s="200" t="s">
        <v>268</v>
      </c>
      <c r="G5" s="200" t="s">
        <v>267</v>
      </c>
      <c r="H5" s="200" t="s">
        <v>268</v>
      </c>
      <c r="I5" s="200" t="s">
        <v>267</v>
      </c>
      <c r="J5" s="200" t="s">
        <v>268</v>
      </c>
      <c r="K5" s="200" t="s">
        <v>267</v>
      </c>
      <c r="L5" s="200" t="s">
        <v>268</v>
      </c>
      <c r="M5" s="200" t="s">
        <v>267</v>
      </c>
      <c r="N5" s="200" t="s">
        <v>268</v>
      </c>
      <c r="O5" s="200" t="s">
        <v>267</v>
      </c>
      <c r="P5" s="201" t="s">
        <v>268</v>
      </c>
      <c r="Q5" s="200" t="s">
        <v>267</v>
      </c>
      <c r="R5" s="200" t="s">
        <v>268</v>
      </c>
      <c r="S5" s="200" t="s">
        <v>267</v>
      </c>
      <c r="T5" s="200" t="s">
        <v>268</v>
      </c>
      <c r="U5" s="201" t="s">
        <v>267</v>
      </c>
      <c r="V5" s="201" t="s">
        <v>268</v>
      </c>
      <c r="W5" s="200" t="s">
        <v>267</v>
      </c>
      <c r="X5" s="200" t="s">
        <v>268</v>
      </c>
      <c r="Y5" s="200" t="s">
        <v>267</v>
      </c>
      <c r="Z5" s="200" t="s">
        <v>268</v>
      </c>
      <c r="AA5" s="200" t="s">
        <v>267</v>
      </c>
      <c r="AB5" s="201" t="s">
        <v>268</v>
      </c>
      <c r="AC5" s="200" t="s">
        <v>267</v>
      </c>
      <c r="AD5" s="200" t="s">
        <v>268</v>
      </c>
      <c r="AE5" s="202" t="s">
        <v>267</v>
      </c>
      <c r="AF5" s="201" t="s">
        <v>268</v>
      </c>
      <c r="AG5" s="200" t="s">
        <v>267</v>
      </c>
      <c r="AH5" s="203" t="s">
        <v>268</v>
      </c>
      <c r="AI5" s="200" t="s">
        <v>267</v>
      </c>
      <c r="AJ5" s="203" t="s">
        <v>268</v>
      </c>
      <c r="AK5" s="200" t="s">
        <v>267</v>
      </c>
      <c r="AL5" s="203" t="s">
        <v>268</v>
      </c>
      <c r="AM5" s="200" t="s">
        <v>267</v>
      </c>
      <c r="AN5" s="203" t="s">
        <v>268</v>
      </c>
      <c r="AO5" s="200" t="s">
        <v>267</v>
      </c>
      <c r="AP5" s="203" t="s">
        <v>268</v>
      </c>
      <c r="AQ5" s="200" t="s">
        <v>267</v>
      </c>
      <c r="AR5" s="203" t="s">
        <v>268</v>
      </c>
      <c r="AU5" s="199" t="s">
        <v>265</v>
      </c>
      <c r="AV5" s="204" t="s">
        <v>266</v>
      </c>
      <c r="AW5" s="205" t="s">
        <v>267</v>
      </c>
      <c r="AX5" s="200" t="s">
        <v>268</v>
      </c>
      <c r="AY5" s="206" t="s">
        <v>269</v>
      </c>
      <c r="AZ5" s="205" t="s">
        <v>267</v>
      </c>
      <c r="BA5" s="200" t="s">
        <v>268</v>
      </c>
      <c r="BB5" s="206" t="s">
        <v>269</v>
      </c>
      <c r="BC5" s="205" t="s">
        <v>267</v>
      </c>
      <c r="BD5" s="200" t="s">
        <v>268</v>
      </c>
      <c r="BE5" s="206" t="s">
        <v>269</v>
      </c>
      <c r="BF5" s="205" t="s">
        <v>267</v>
      </c>
      <c r="BG5" s="200" t="s">
        <v>268</v>
      </c>
      <c r="BH5" s="206" t="s">
        <v>269</v>
      </c>
      <c r="BI5" s="205" t="s">
        <v>267</v>
      </c>
      <c r="BJ5" s="200" t="s">
        <v>268</v>
      </c>
      <c r="BK5" s="206" t="s">
        <v>269</v>
      </c>
      <c r="BL5" s="205" t="s">
        <v>267</v>
      </c>
      <c r="BM5" s="200" t="s">
        <v>268</v>
      </c>
      <c r="BN5" s="206" t="s">
        <v>269</v>
      </c>
      <c r="BO5" s="205" t="s">
        <v>267</v>
      </c>
      <c r="BP5" s="200" t="s">
        <v>268</v>
      </c>
      <c r="BQ5" s="206" t="s">
        <v>269</v>
      </c>
      <c r="BR5" s="205" t="s">
        <v>267</v>
      </c>
      <c r="BS5" s="200" t="s">
        <v>268</v>
      </c>
      <c r="BT5" s="206" t="s">
        <v>269</v>
      </c>
      <c r="BU5" s="205" t="s">
        <v>267</v>
      </c>
      <c r="BV5" s="200" t="s">
        <v>268</v>
      </c>
      <c r="BW5" s="206" t="s">
        <v>269</v>
      </c>
      <c r="BX5" s="205" t="s">
        <v>267</v>
      </c>
      <c r="BY5" s="200" t="s">
        <v>268</v>
      </c>
      <c r="BZ5" s="206" t="s">
        <v>269</v>
      </c>
      <c r="CA5" s="205" t="s">
        <v>267</v>
      </c>
      <c r="CB5" s="200" t="s">
        <v>268</v>
      </c>
      <c r="CC5" s="206" t="s">
        <v>269</v>
      </c>
      <c r="CD5" s="205" t="s">
        <v>267</v>
      </c>
      <c r="CE5" s="200" t="s">
        <v>268</v>
      </c>
      <c r="CF5" s="206" t="s">
        <v>269</v>
      </c>
      <c r="CG5" s="205" t="s">
        <v>267</v>
      </c>
      <c r="CH5" s="200" t="s">
        <v>268</v>
      </c>
      <c r="CI5" s="206" t="s">
        <v>269</v>
      </c>
      <c r="CJ5" s="205" t="s">
        <v>267</v>
      </c>
      <c r="CK5" s="200" t="s">
        <v>268</v>
      </c>
      <c r="CL5" s="206" t="s">
        <v>269</v>
      </c>
      <c r="CM5" s="205" t="s">
        <v>267</v>
      </c>
      <c r="CN5" s="200" t="s">
        <v>268</v>
      </c>
      <c r="CO5" s="206" t="s">
        <v>269</v>
      </c>
      <c r="CP5" s="205" t="s">
        <v>267</v>
      </c>
      <c r="CQ5" s="200" t="s">
        <v>268</v>
      </c>
      <c r="CR5" s="206" t="s">
        <v>269</v>
      </c>
      <c r="CS5" s="205" t="s">
        <v>267</v>
      </c>
      <c r="CT5" s="200" t="s">
        <v>268</v>
      </c>
      <c r="CU5" s="206" t="s">
        <v>269</v>
      </c>
      <c r="CV5" s="205" t="s">
        <v>267</v>
      </c>
      <c r="CW5" s="200" t="s">
        <v>268</v>
      </c>
      <c r="CX5" s="206" t="s">
        <v>269</v>
      </c>
    </row>
    <row r="6" spans="1:102" ht="12.75">
      <c r="A6" s="207"/>
      <c r="B6" s="208"/>
      <c r="C6" s="208"/>
      <c r="D6" s="208"/>
      <c r="E6" s="209">
        <f>G6+I6+K6+M6+O6+Q6+S6+U6+W6+Y6+AA6+AC6+AE6+AG6</f>
        <v>0</v>
      </c>
      <c r="F6" s="209">
        <f>H6+J6+L6+N6+P6+R6</f>
        <v>0</v>
      </c>
      <c r="G6" s="208"/>
      <c r="H6" s="208"/>
      <c r="I6" s="208"/>
      <c r="J6" s="208"/>
      <c r="K6" s="208"/>
      <c r="L6" s="210"/>
      <c r="M6" s="208"/>
      <c r="N6" s="208"/>
      <c r="O6" s="208"/>
      <c r="P6" s="208"/>
      <c r="Q6" s="210"/>
      <c r="R6" s="210"/>
      <c r="S6" s="208"/>
      <c r="T6" s="208"/>
      <c r="U6" s="208"/>
      <c r="V6" s="208"/>
      <c r="W6" s="208"/>
      <c r="X6" s="210"/>
      <c r="Y6" s="208"/>
      <c r="Z6" s="208"/>
      <c r="AA6" s="211"/>
      <c r="AB6" s="210"/>
      <c r="AC6" s="208"/>
      <c r="AD6" s="212"/>
      <c r="AE6" s="208"/>
      <c r="AF6" s="212"/>
      <c r="AG6" s="208"/>
      <c r="AH6" s="212"/>
      <c r="AI6" s="208"/>
      <c r="AJ6" s="212"/>
      <c r="AK6" s="208"/>
      <c r="AL6" s="212"/>
      <c r="AM6" s="208"/>
      <c r="AN6" s="212"/>
      <c r="AO6" s="208"/>
      <c r="AP6" s="212"/>
      <c r="AQ6" s="208"/>
      <c r="AR6" s="212"/>
      <c r="AU6" s="207">
        <f t="shared" ref="AU6:AV10" si="0">A6</f>
        <v>0</v>
      </c>
      <c r="AV6" s="208">
        <f t="shared" si="0"/>
        <v>0</v>
      </c>
      <c r="AW6" s="213">
        <f>SUM($I6,$K6,$M6,$O6,$Q6,$S6,$U6,$W6,$Y6,$AA6,$AC6,$AE6,$AG6)</f>
        <v>0</v>
      </c>
      <c r="AX6" s="208">
        <f>SUM($J6,$L6,$N6,$P6,$R6,$T6,$V6,$X6,$Z6,$AB6,$AD6,$AF6,$AH6)</f>
        <v>0</v>
      </c>
      <c r="AY6" s="214">
        <f>SUM(AW6,AX6)</f>
        <v>0</v>
      </c>
      <c r="AZ6" s="213">
        <f>SUM($K6,$M6,$O6,$Q6,$S6,$U6,$W6,$Y6,$AA6,$AC6,$AE6,$AG6)</f>
        <v>0</v>
      </c>
      <c r="BA6" s="208">
        <f>SUM($L6,$N6,$P6,$R6,$T6,$V6,$X6,$Z6,$AB6,$AD6,$AF6,$AH6)</f>
        <v>0</v>
      </c>
      <c r="BB6" s="214">
        <f>SUM(AZ6,BA6)</f>
        <v>0</v>
      </c>
      <c r="BC6" s="213">
        <f>SUM($M6,$O6,$Q6,$S6,$U6,$W6,$Y6,$AA6,$AC6,$AE6,$AG6)</f>
        <v>0</v>
      </c>
      <c r="BD6" s="208">
        <f>SUM($N6,$P6,$R6,$T6,$V6,$X6,$Z6,$AB6,$AD6,$AF6,$AH6)</f>
        <v>0</v>
      </c>
      <c r="BE6" s="214">
        <f>SUM(BC6,BD6)</f>
        <v>0</v>
      </c>
      <c r="BF6" s="213">
        <f>SUM($O6,$Q6,$S6,$U6,$W6,$Y6,$AA6,$AC6,$AE6,$AG6)</f>
        <v>0</v>
      </c>
      <c r="BG6" s="208">
        <f>SUM($P6,$R6,$T6,$V6,$X6,$Z6,$AB6,$AD6,$AF6,$AH6)</f>
        <v>0</v>
      </c>
      <c r="BH6" s="214">
        <f>SUM(BF6,BG6)</f>
        <v>0</v>
      </c>
      <c r="BI6" s="213">
        <f>SUM($Q6,$S6,$U6,$W6,$Y6,$AA6,$AC6,$AE6,$AG6)</f>
        <v>0</v>
      </c>
      <c r="BJ6" s="208">
        <f>SUM($R6,$T6,$V6,$X6,$Z6,$AB6,$AD6,$AF6,$AH6)</f>
        <v>0</v>
      </c>
      <c r="BK6" s="214">
        <f>SUM(BI6,BJ6)</f>
        <v>0</v>
      </c>
      <c r="BL6" s="213">
        <f>SUM($S6,$U6,$W6,$Y6,$AA6,$AC6,$AE6,$AG6)</f>
        <v>0</v>
      </c>
      <c r="BM6" s="208">
        <f>SUM($T6,$V6,$X6,$Z6,$AB6,$AD6,$AF6,$AH6)</f>
        <v>0</v>
      </c>
      <c r="BN6" s="214">
        <f>SUM(BL6,BM6)</f>
        <v>0</v>
      </c>
      <c r="BO6" s="213">
        <f>SUM($U6,$W6,$Y6,$AA6,$AC6,$AE6,$AG6)</f>
        <v>0</v>
      </c>
      <c r="BP6" s="208">
        <f>SUM($V6,$X6,$Z6,$AB6,$AD6,$AF6,$AH6)</f>
        <v>0</v>
      </c>
      <c r="BQ6" s="214">
        <f>SUM(BO6,BP6)</f>
        <v>0</v>
      </c>
      <c r="BR6" s="213">
        <f>SUM($W6,$Y6,$AA6,$AC6,$AE6,$AG6)</f>
        <v>0</v>
      </c>
      <c r="BS6" s="208">
        <f>SUM($X6,$Z6,$AB6,$AD6,$AF6,$AH6)</f>
        <v>0</v>
      </c>
      <c r="BT6" s="214">
        <f>SUM(BR6,BS6)</f>
        <v>0</v>
      </c>
      <c r="BU6" s="213">
        <f>SUM($Y6,$AA6,$AC6,$AE6,$AG6)</f>
        <v>0</v>
      </c>
      <c r="BV6" s="208">
        <f>SUM($Z6,$AB6,$AD6,$AF6,$AH6)</f>
        <v>0</v>
      </c>
      <c r="BW6" s="214">
        <f>SUM(BU6,BV6)</f>
        <v>0</v>
      </c>
      <c r="BX6" s="213">
        <f>SUM($AA6,$AC6,$AE6,$AG6)</f>
        <v>0</v>
      </c>
      <c r="BY6" s="208">
        <f>SUM($AB6,$AD6,$AF6,$AH6)</f>
        <v>0</v>
      </c>
      <c r="BZ6" s="214">
        <f>SUM(BX6,BY6)</f>
        <v>0</v>
      </c>
      <c r="CA6" s="213">
        <f>SUM($AC6,$AE6,$AG6)</f>
        <v>0</v>
      </c>
      <c r="CB6" s="208">
        <f>SUM($AD6,$AF6,$AH6)</f>
        <v>0</v>
      </c>
      <c r="CC6" s="214">
        <f>SUM(CA6,CB6)</f>
        <v>0</v>
      </c>
      <c r="CD6" s="213">
        <f>SUM($AE6,$AG6)</f>
        <v>0</v>
      </c>
      <c r="CE6" s="208">
        <f>SUM($AF6,$AH6)</f>
        <v>0</v>
      </c>
      <c r="CF6" s="214">
        <f>SUM(CD6,CE6)</f>
        <v>0</v>
      </c>
      <c r="CG6" s="213">
        <f>SUM($AE6,$AG6)</f>
        <v>0</v>
      </c>
      <c r="CH6" s="208">
        <f>SUM($AF6,$AH6)</f>
        <v>0</v>
      </c>
      <c r="CI6" s="214">
        <f>SUM(CG6,CH6)</f>
        <v>0</v>
      </c>
      <c r="CJ6" s="213">
        <f>SUM($AE6,$AG6)</f>
        <v>0</v>
      </c>
      <c r="CK6" s="208">
        <f>SUM($AF6,$AH6)</f>
        <v>0</v>
      </c>
      <c r="CL6" s="214">
        <f>SUM(CJ6,CK6)</f>
        <v>0</v>
      </c>
      <c r="CM6" s="213">
        <f>SUM($AE6,$AG6)</f>
        <v>0</v>
      </c>
      <c r="CN6" s="208">
        <f>SUM($AF6,$AH6)</f>
        <v>0</v>
      </c>
      <c r="CO6" s="214">
        <f>SUM(CM6,CN6)</f>
        <v>0</v>
      </c>
      <c r="CP6" s="213">
        <f>SUM($AE6,$AG6)</f>
        <v>0</v>
      </c>
      <c r="CQ6" s="208">
        <f>SUM($AF6,$AH6)</f>
        <v>0</v>
      </c>
      <c r="CR6" s="214">
        <f>SUM(CP6,CQ6)</f>
        <v>0</v>
      </c>
      <c r="CS6" s="213">
        <f>SUM($AE6,$AG6)</f>
        <v>0</v>
      </c>
      <c r="CT6" s="208">
        <f>SUM($AF6,$AH6)</f>
        <v>0</v>
      </c>
      <c r="CU6" s="214">
        <f>SUM(CS6,CT6)</f>
        <v>0</v>
      </c>
      <c r="CV6" s="213">
        <f>SUM($AE6,$AG6)</f>
        <v>0</v>
      </c>
      <c r="CW6" s="208">
        <f>SUM($AF6,$AH6)</f>
        <v>0</v>
      </c>
      <c r="CX6" s="214">
        <f>SUM(CV6,CW6)</f>
        <v>0</v>
      </c>
    </row>
    <row r="7" spans="1:102" ht="12.75">
      <c r="A7" s="207"/>
      <c r="B7" s="208"/>
      <c r="C7" s="208"/>
      <c r="D7" s="208"/>
      <c r="E7" s="209">
        <f>G7+I7+K7+M7+O7+Q7+S7+U7+W7+Y7+AA7+AC7+AE7+AG7</f>
        <v>0</v>
      </c>
      <c r="F7" s="209">
        <f>H7+J7+L7+N7+P7+R7</f>
        <v>0</v>
      </c>
      <c r="G7" s="208"/>
      <c r="H7" s="208"/>
      <c r="I7" s="208"/>
      <c r="J7" s="208"/>
      <c r="K7" s="208"/>
      <c r="L7" s="210"/>
      <c r="M7" s="208"/>
      <c r="N7" s="208"/>
      <c r="O7" s="208"/>
      <c r="P7" s="208"/>
      <c r="Q7" s="210"/>
      <c r="R7" s="210"/>
      <c r="S7" s="208"/>
      <c r="T7" s="208"/>
      <c r="U7" s="208"/>
      <c r="V7" s="208"/>
      <c r="W7" s="208"/>
      <c r="X7" s="210"/>
      <c r="Y7" s="208"/>
      <c r="Z7" s="208"/>
      <c r="AA7" s="211"/>
      <c r="AB7" s="210"/>
      <c r="AC7" s="208"/>
      <c r="AD7" s="212"/>
      <c r="AE7" s="208"/>
      <c r="AF7" s="212"/>
      <c r="AG7" s="208"/>
      <c r="AH7" s="212"/>
      <c r="AI7" s="208"/>
      <c r="AJ7" s="212"/>
      <c r="AK7" s="208"/>
      <c r="AL7" s="212"/>
      <c r="AM7" s="208"/>
      <c r="AN7" s="212"/>
      <c r="AO7" s="208"/>
      <c r="AP7" s="212"/>
      <c r="AQ7" s="208"/>
      <c r="AR7" s="212"/>
      <c r="AU7" s="207">
        <f t="shared" si="0"/>
        <v>0</v>
      </c>
      <c r="AV7" s="208">
        <f t="shared" si="0"/>
        <v>0</v>
      </c>
      <c r="AW7" s="213">
        <f>SUM($I7,$K7,$M7,$O7,$Q7,$S7,$U7,$W7,$Y7,$AA7,$AC7,$AE7,$AG7)</f>
        <v>0</v>
      </c>
      <c r="AX7" s="208">
        <f>SUM($J7,$L7,$N7,$P7,$R7,$T7,$V7,$X7,$Z7,$AB7,$AD7,$AF7,$AH7)</f>
        <v>0</v>
      </c>
      <c r="AY7" s="214">
        <f>SUM(AW7,AX7)</f>
        <v>0</v>
      </c>
      <c r="AZ7" s="213">
        <f>SUM($K7,$M7,$O7,$Q7,$S7,$U7,$W7,$Y7,$AA7,$AC7,$AE7,$AG7)</f>
        <v>0</v>
      </c>
      <c r="BA7" s="213">
        <f>SUM($L7,$N7,$P7,$R7,$T7,$V7,$X7,$Z7,$AB7,$AD7,$AF7,$AH7)</f>
        <v>0</v>
      </c>
      <c r="BB7" s="214">
        <f>SUM(AZ7,BA7)</f>
        <v>0</v>
      </c>
      <c r="BC7" s="213">
        <f>SUM($M7,$O7,$Q7,$S7,$U7,$W7,$Y7,$AA7,$AC7,$AE7,$AG7)</f>
        <v>0</v>
      </c>
      <c r="BD7" s="208">
        <f>SUM($N7,$P7,$R7,$T7,$V7,$X7,$Z7,$AB7,$AD7,$AF7,$AH7)</f>
        <v>0</v>
      </c>
      <c r="BE7" s="214">
        <f>SUM(BC7,BD7)</f>
        <v>0</v>
      </c>
      <c r="BF7" s="213">
        <f>SUM($O7,$Q7,$S7,$U7,$W7,$Y7,$AA7,$AC7,$AE7,$AG7)</f>
        <v>0</v>
      </c>
      <c r="BG7" s="213">
        <f>SUM($P7,$R7,$T7,$V7,$X7,$Z7,$AB7,$AD7,$AF7,$AH7)</f>
        <v>0</v>
      </c>
      <c r="BH7" s="214">
        <f>SUM(BF7,BG7)</f>
        <v>0</v>
      </c>
      <c r="BI7" s="213">
        <f>SUM($Q7,$S7,$U7,$W7,$Y7,$AA7,$AC7,$AE7,$AG7)</f>
        <v>0</v>
      </c>
      <c r="BJ7" s="208">
        <f>SUM($R7,$T7,$V7,$X7,$Z7,$AB7,$AD7,$AF7,$AH7)</f>
        <v>0</v>
      </c>
      <c r="BK7" s="214">
        <f>SUM(BI7,BJ7)</f>
        <v>0</v>
      </c>
      <c r="BL7" s="213">
        <f>SUM($S7,$U7,$W7,$Y7,$AA7,$AC7,$AE7,$AG7)</f>
        <v>0</v>
      </c>
      <c r="BM7" s="208">
        <f>SUM($T7,$V7,$X7,$Z7,$AB7,$AD7,$AF7,$AH7)</f>
        <v>0</v>
      </c>
      <c r="BN7" s="214">
        <f>SUM(BL7,BM7)</f>
        <v>0</v>
      </c>
      <c r="BO7" s="213">
        <f>SUM($U7,$W7,$Y7,$AA7,$AC7,$AE7,$AG7)</f>
        <v>0</v>
      </c>
      <c r="BP7" s="208">
        <f>SUM($V7,$X7,$Z7,$AB7,$AD7,$AF7,$AH7)</f>
        <v>0</v>
      </c>
      <c r="BQ7" s="214">
        <f>SUM(BO7,BP7)</f>
        <v>0</v>
      </c>
      <c r="BR7" s="213">
        <f>SUM($W7,$Y7,$AA7,$AC7,$AE7,$AG7)</f>
        <v>0</v>
      </c>
      <c r="BS7" s="208">
        <f>SUM($X7,$Z7,$AB7,$AD7,$AF7,$AH7)</f>
        <v>0</v>
      </c>
      <c r="BT7" s="214">
        <f>SUM(BR7,BS7)</f>
        <v>0</v>
      </c>
      <c r="BU7" s="213">
        <f>SUM($Y7,$AA7,$AC7,$AE7,$AG7)</f>
        <v>0</v>
      </c>
      <c r="BV7" s="208">
        <f>SUM($Z7,$AB7,$AD7,$AF7,$AH7)</f>
        <v>0</v>
      </c>
      <c r="BW7" s="214">
        <f>SUM(BU7,BV7)</f>
        <v>0</v>
      </c>
      <c r="BX7" s="213">
        <f>SUM($AA7,$AC7,$AE7,$AG7)</f>
        <v>0</v>
      </c>
      <c r="BY7" s="208">
        <f>SUM($AB7,$AD7,$AF7,$AH7)</f>
        <v>0</v>
      </c>
      <c r="BZ7" s="214">
        <f>SUM(BX7,BY7)</f>
        <v>0</v>
      </c>
      <c r="CA7" s="213">
        <f>SUM($AC7,$AE7,$AG7)</f>
        <v>0</v>
      </c>
      <c r="CB7" s="208">
        <f>SUM($AD7,$AF7,$AH7)</f>
        <v>0</v>
      </c>
      <c r="CC7" s="214">
        <f>SUM(CA7,CB7)</f>
        <v>0</v>
      </c>
      <c r="CD7" s="213">
        <f>SUM($AE7,$AG7)</f>
        <v>0</v>
      </c>
      <c r="CE7" s="208">
        <f>SUM($AF7,$AH7)</f>
        <v>0</v>
      </c>
      <c r="CF7" s="214">
        <f>SUM(CD7,CE7)</f>
        <v>0</v>
      </c>
      <c r="CG7" s="213">
        <f>SUM($AE7,$AG7)</f>
        <v>0</v>
      </c>
      <c r="CH7" s="208">
        <f>SUM($AF7,$AH7)</f>
        <v>0</v>
      </c>
      <c r="CI7" s="214">
        <f>SUM(CG7,CH7)</f>
        <v>0</v>
      </c>
      <c r="CJ7" s="213">
        <f>SUM($AE7,$AG7)</f>
        <v>0</v>
      </c>
      <c r="CK7" s="208">
        <f>SUM($AF7,$AH7)</f>
        <v>0</v>
      </c>
      <c r="CL7" s="214">
        <f>SUM(CJ7,CK7)</f>
        <v>0</v>
      </c>
      <c r="CM7" s="213">
        <f>SUM($AE7,$AG7)</f>
        <v>0</v>
      </c>
      <c r="CN7" s="208">
        <f>SUM($AF7,$AH7)</f>
        <v>0</v>
      </c>
      <c r="CO7" s="214">
        <f>SUM(CM7,CN7)</f>
        <v>0</v>
      </c>
      <c r="CP7" s="213">
        <f>SUM($AE7,$AG7)</f>
        <v>0</v>
      </c>
      <c r="CQ7" s="208">
        <f>SUM($AF7,$AH7)</f>
        <v>0</v>
      </c>
      <c r="CR7" s="214">
        <f>SUM(CP7,CQ7)</f>
        <v>0</v>
      </c>
      <c r="CS7" s="213">
        <f>SUM($AE7,$AG7)</f>
        <v>0</v>
      </c>
      <c r="CT7" s="208">
        <f>SUM($AF7,$AH7)</f>
        <v>0</v>
      </c>
      <c r="CU7" s="214">
        <f>SUM(CS7,CT7)</f>
        <v>0</v>
      </c>
      <c r="CV7" s="213">
        <f>SUM($AE7,$AG7)</f>
        <v>0</v>
      </c>
      <c r="CW7" s="208">
        <f>SUM($AF7,$AH7)</f>
        <v>0</v>
      </c>
      <c r="CX7" s="214">
        <f>SUM(CV7,CW7)</f>
        <v>0</v>
      </c>
    </row>
    <row r="8" spans="1:102" s="215" customFormat="1" ht="12.75">
      <c r="A8" s="207" t="s">
        <v>270</v>
      </c>
      <c r="B8" s="208"/>
      <c r="C8" s="208"/>
      <c r="D8" s="208"/>
      <c r="E8" s="209">
        <f>G8+I8+K8+M8+O8+Q8+S8+U8+W8+Y8+AA8+AC8+AE8+AG8</f>
        <v>0</v>
      </c>
      <c r="F8" s="209">
        <f>H8+J8+L8+N8+P8+R8</f>
        <v>0</v>
      </c>
      <c r="G8" s="208"/>
      <c r="H8" s="208"/>
      <c r="I8" s="208"/>
      <c r="J8" s="208"/>
      <c r="K8" s="208"/>
      <c r="L8" s="210"/>
      <c r="M8" s="208"/>
      <c r="N8" s="208"/>
      <c r="O8" s="208"/>
      <c r="P8" s="208"/>
      <c r="Q8" s="210"/>
      <c r="R8" s="210"/>
      <c r="S8" s="208"/>
      <c r="T8" s="208"/>
      <c r="U8" s="208"/>
      <c r="V8" s="208"/>
      <c r="W8" s="208"/>
      <c r="X8" s="210"/>
      <c r="Y8" s="208"/>
      <c r="Z8" s="208"/>
      <c r="AA8" s="211"/>
      <c r="AB8" s="210"/>
      <c r="AC8" s="208"/>
      <c r="AD8" s="212"/>
      <c r="AE8" s="208"/>
      <c r="AF8" s="212"/>
      <c r="AG8" s="208"/>
      <c r="AH8" s="212"/>
      <c r="AI8" s="208"/>
      <c r="AJ8" s="212"/>
      <c r="AK8" s="208"/>
      <c r="AL8" s="212"/>
      <c r="AM8" s="208"/>
      <c r="AN8" s="212"/>
      <c r="AO8" s="208"/>
      <c r="AP8" s="212"/>
      <c r="AQ8" s="208"/>
      <c r="AR8" s="212"/>
      <c r="AU8" s="207" t="str">
        <f t="shared" si="0"/>
        <v xml:space="preserve"> -</v>
      </c>
      <c r="AV8" s="208">
        <f t="shared" si="0"/>
        <v>0</v>
      </c>
      <c r="AW8" s="213">
        <f>SUM($I8,$K8,$M8,$O8,$Q8,$S8,$U8,$W8,$Y8,$AA8,$AC8,$AE8,$AG8)</f>
        <v>0</v>
      </c>
      <c r="AX8" s="208">
        <f>SUM($J8,$L8,$N8,$P8,$R8,$T8,$V8,$X8,$Z8,$AB8,$AD8,$AF8,$AH8)</f>
        <v>0</v>
      </c>
      <c r="AY8" s="214">
        <f>SUM(AW8,AX8)</f>
        <v>0</v>
      </c>
      <c r="AZ8" s="213">
        <f>SUM($K8,$M8,$O8,$Q8,$S8,$U8,$W8,$Y8,$AA8,$AC8,$AE8,$AG8)</f>
        <v>0</v>
      </c>
      <c r="BA8" s="213">
        <f>SUM($L8,$N8,$P8,$R8,$T8,$V8,$X8,$Z8,$AB8,$AD8,$AF8,$AH8)</f>
        <v>0</v>
      </c>
      <c r="BB8" s="214">
        <f>SUM(AZ8,BA8)</f>
        <v>0</v>
      </c>
      <c r="BC8" s="213">
        <f>SUM($M8,$O8,$Q8,$S8,$U8,$W8,$Y8,$AA8,$AC8,$AE8,$AG8)</f>
        <v>0</v>
      </c>
      <c r="BD8" s="208">
        <f>SUM($N8,$P8,$R8,$T8,$V8,$X8,$Z8,$AB8,$AD8,$AF8,$AH8)</f>
        <v>0</v>
      </c>
      <c r="BE8" s="214">
        <f>SUM(BC8,BD8)</f>
        <v>0</v>
      </c>
      <c r="BF8" s="213">
        <f>SUM($O8,$Q8,$S8,$U8,$W8,$Y8,$AA8,$AC8,$AE8,$AG8)</f>
        <v>0</v>
      </c>
      <c r="BG8" s="213">
        <f>SUM($P8,$R8,$T8,$V8,$X8,$Z8,$AB8,$AD8,$AF8,$AH8)</f>
        <v>0</v>
      </c>
      <c r="BH8" s="214">
        <f>SUM(BF8,BG8)</f>
        <v>0</v>
      </c>
      <c r="BI8" s="213">
        <f>SUM($Q8,$S8,$U8,$W8,$Y8,$AA8,$AC8,$AE8,$AG8)</f>
        <v>0</v>
      </c>
      <c r="BJ8" s="208">
        <f>SUM($R8,$T8,$V8,$X8,$Z8,$AB8,$AD8,$AF8,$AH8)</f>
        <v>0</v>
      </c>
      <c r="BK8" s="214">
        <f>SUM(BI8,BJ8)</f>
        <v>0</v>
      </c>
      <c r="BL8" s="213">
        <f>SUM($S8,$U8,$W8,$Y8,$AA8,$AC8,$AE8,$AG8)</f>
        <v>0</v>
      </c>
      <c r="BM8" s="208">
        <f>SUM($T8,$V8,$X8,$Z8,$AB8,$AD8,$AF8,$AH8)</f>
        <v>0</v>
      </c>
      <c r="BN8" s="214">
        <f>SUM(BL8,BM8)</f>
        <v>0</v>
      </c>
      <c r="BO8" s="213">
        <f>SUM($U8,$W8,$Y8,$AA8,$AC8,$AE8,$AG8)</f>
        <v>0</v>
      </c>
      <c r="BP8" s="208">
        <f>SUM($V8,$X8,$Z8,$AB8,$AD8,$AF8,$AH8)</f>
        <v>0</v>
      </c>
      <c r="BQ8" s="214">
        <f>SUM(BO8,BP8)</f>
        <v>0</v>
      </c>
      <c r="BR8" s="213">
        <f>SUM($W8,$Y8,$AA8,$AC8,$AE8,$AG8)</f>
        <v>0</v>
      </c>
      <c r="BS8" s="208">
        <f>SUM($X8,$Z8,$AB8,$AD8,$AF8,$AH8)</f>
        <v>0</v>
      </c>
      <c r="BT8" s="214">
        <f>SUM(BR8,BS8)</f>
        <v>0</v>
      </c>
      <c r="BU8" s="213">
        <f>SUM($Y8,$AA8,$AC8,$AE8,$AG8)</f>
        <v>0</v>
      </c>
      <c r="BV8" s="208">
        <f>SUM($Z8,$AB8,$AD8,$AF8,$AH8)</f>
        <v>0</v>
      </c>
      <c r="BW8" s="214">
        <f>SUM(BU8,BV8)</f>
        <v>0</v>
      </c>
      <c r="BX8" s="213">
        <f>SUM($AA8,$AC8,$AE8,$AG8)</f>
        <v>0</v>
      </c>
      <c r="BY8" s="208">
        <f>SUM($AB8,$AD8,$AF8,$AH8)</f>
        <v>0</v>
      </c>
      <c r="BZ8" s="214">
        <f>SUM(BX8,BY8)</f>
        <v>0</v>
      </c>
      <c r="CA8" s="213">
        <f>SUM($AC8,$AE8,$AG8)</f>
        <v>0</v>
      </c>
      <c r="CB8" s="208">
        <f>SUM($AD8,$AF8,$AH8)</f>
        <v>0</v>
      </c>
      <c r="CC8" s="214">
        <f>SUM(CA8,CB8)</f>
        <v>0</v>
      </c>
      <c r="CD8" s="213">
        <f>SUM($AE8,$AG8)</f>
        <v>0</v>
      </c>
      <c r="CE8" s="208">
        <f>SUM($AF8,$AH8)</f>
        <v>0</v>
      </c>
      <c r="CF8" s="214">
        <f>SUM(CD8,CE8)</f>
        <v>0</v>
      </c>
      <c r="CG8" s="213">
        <f>SUM($AE8,$AG8)</f>
        <v>0</v>
      </c>
      <c r="CH8" s="208">
        <f>SUM($AF8,$AH8)</f>
        <v>0</v>
      </c>
      <c r="CI8" s="214">
        <f>SUM(CG8,CH8)</f>
        <v>0</v>
      </c>
      <c r="CJ8" s="213">
        <f>SUM($AE8,$AG8)</f>
        <v>0</v>
      </c>
      <c r="CK8" s="208">
        <f>SUM($AF8,$AH8)</f>
        <v>0</v>
      </c>
      <c r="CL8" s="214">
        <f>SUM(CJ8,CK8)</f>
        <v>0</v>
      </c>
      <c r="CM8" s="213">
        <f>SUM($AE8,$AG8)</f>
        <v>0</v>
      </c>
      <c r="CN8" s="208">
        <f>SUM($AF8,$AH8)</f>
        <v>0</v>
      </c>
      <c r="CO8" s="214">
        <f>SUM(CM8,CN8)</f>
        <v>0</v>
      </c>
      <c r="CP8" s="213">
        <f>SUM($AE8,$AG8)</f>
        <v>0</v>
      </c>
      <c r="CQ8" s="208">
        <f>SUM($AF8,$AH8)</f>
        <v>0</v>
      </c>
      <c r="CR8" s="214">
        <f>SUM(CP8,CQ8)</f>
        <v>0</v>
      </c>
      <c r="CS8" s="213">
        <f>SUM($AE8,$AG8)</f>
        <v>0</v>
      </c>
      <c r="CT8" s="208">
        <f>SUM($AF8,$AH8)</f>
        <v>0</v>
      </c>
      <c r="CU8" s="214">
        <f>SUM(CS8,CT8)</f>
        <v>0</v>
      </c>
      <c r="CV8" s="213">
        <f>SUM($AE8,$AG8)</f>
        <v>0</v>
      </c>
      <c r="CW8" s="208">
        <f>SUM($AF8,$AH8)</f>
        <v>0</v>
      </c>
      <c r="CX8" s="214">
        <f>SUM(CV8,CW8)</f>
        <v>0</v>
      </c>
    </row>
    <row r="9" spans="1:102" ht="12.75">
      <c r="A9" s="207" t="s">
        <v>270</v>
      </c>
      <c r="B9" s="208"/>
      <c r="C9" s="208"/>
      <c r="D9" s="208"/>
      <c r="E9" s="209">
        <f>G9+I9+K9+M9+O9+Q9+S9+U9+W9+Y9+AA9+AC9+AE9+AG9</f>
        <v>0</v>
      </c>
      <c r="F9" s="209">
        <f>H9+J9+L9+N9+P9+R9</f>
        <v>0</v>
      </c>
      <c r="G9" s="208"/>
      <c r="H9" s="208"/>
      <c r="I9" s="208"/>
      <c r="J9" s="208"/>
      <c r="K9" s="208"/>
      <c r="L9" s="210"/>
      <c r="M9" s="208"/>
      <c r="N9" s="208"/>
      <c r="O9" s="208"/>
      <c r="P9" s="208"/>
      <c r="Q9" s="210"/>
      <c r="R9" s="210"/>
      <c r="S9" s="208"/>
      <c r="T9" s="208"/>
      <c r="U9" s="208"/>
      <c r="V9" s="208"/>
      <c r="W9" s="208"/>
      <c r="X9" s="210"/>
      <c r="Y9" s="208"/>
      <c r="Z9" s="208"/>
      <c r="AA9" s="211"/>
      <c r="AB9" s="210"/>
      <c r="AC9" s="208"/>
      <c r="AD9" s="212"/>
      <c r="AE9" s="208"/>
      <c r="AF9" s="212"/>
      <c r="AG9" s="208"/>
      <c r="AH9" s="212"/>
      <c r="AI9" s="208"/>
      <c r="AJ9" s="212"/>
      <c r="AK9" s="208"/>
      <c r="AL9" s="212"/>
      <c r="AM9" s="208"/>
      <c r="AN9" s="212"/>
      <c r="AO9" s="208"/>
      <c r="AP9" s="212"/>
      <c r="AQ9" s="208"/>
      <c r="AR9" s="212"/>
      <c r="AU9" s="207" t="str">
        <f t="shared" si="0"/>
        <v xml:space="preserve"> -</v>
      </c>
      <c r="AV9" s="208">
        <f t="shared" si="0"/>
        <v>0</v>
      </c>
      <c r="AW9" s="213">
        <f>SUM($I9,$K9,$M9,$O9,$Q9,$S9,$U9,$W9,$Y9,$AA9,$AC9,$AE9,$AG9)</f>
        <v>0</v>
      </c>
      <c r="AX9" s="208">
        <f>SUM($J9,$L9,$N9,$P9,$R9,$T9,$V9,$X9,$Z9,$AB9,$AD9,$AF9,$AH9)</f>
        <v>0</v>
      </c>
      <c r="AY9" s="214">
        <f>SUM(AW9,AX9)</f>
        <v>0</v>
      </c>
      <c r="AZ9" s="213">
        <f>SUM($K9,$M9,$O9,$Q9,$S9,$U9,$W9,$Y9,$AA9,$AC9,$AE9,$AG9)</f>
        <v>0</v>
      </c>
      <c r="BA9" s="213">
        <f>SUM($L9,$N9,$P9,$R9,$T9,$V9,$X9,$Z9,$AB9,$AD9,$AF9,$AH9)</f>
        <v>0</v>
      </c>
      <c r="BB9" s="214">
        <f>SUM(AZ9,BA9)</f>
        <v>0</v>
      </c>
      <c r="BC9" s="213">
        <f>SUM($M9,$O9,$Q9,$S9,$U9,$W9,$Y9,$AA9,$AC9,$AE9,$AG9)</f>
        <v>0</v>
      </c>
      <c r="BD9" s="208">
        <f>SUM($N9,$P9,$R9,$T9,$V9,$X9,$Z9,$AB9,$AD9,$AF9,$AH9)</f>
        <v>0</v>
      </c>
      <c r="BE9" s="214">
        <f>SUM(BC9,BD9)</f>
        <v>0</v>
      </c>
      <c r="BF9" s="213">
        <f>SUM($O9,$Q9,$S9,$U9,$W9,$Y9,$AA9,$AC9,$AE9,$AG9)</f>
        <v>0</v>
      </c>
      <c r="BG9" s="213">
        <f>SUM($P9,$R9,$T9,$V9,$X9,$Z9,$AB9,$AD9,$AF9,$AH9)</f>
        <v>0</v>
      </c>
      <c r="BH9" s="214">
        <f>SUM(BF9,BG9)</f>
        <v>0</v>
      </c>
      <c r="BI9" s="213">
        <f>SUM($Q9,$S9,$U9,$W9,$Y9,$AA9,$AC9,$AE9,$AG9)</f>
        <v>0</v>
      </c>
      <c r="BJ9" s="208">
        <f>SUM($R9,$T9,$V9,$X9,$Z9,$AB9,$AD9,$AF9,$AH9)</f>
        <v>0</v>
      </c>
      <c r="BK9" s="214">
        <f>SUM(BI9,BJ9)</f>
        <v>0</v>
      </c>
      <c r="BL9" s="213">
        <f>SUM($S9,$U9,$W9,$Y9,$AA9,$AC9,$AE9,$AG9)</f>
        <v>0</v>
      </c>
      <c r="BM9" s="208">
        <f>SUM($T9,$V9,$X9,$Z9,$AB9,$AD9,$AF9,$AH9)</f>
        <v>0</v>
      </c>
      <c r="BN9" s="214">
        <f>SUM(BL9,BM9)</f>
        <v>0</v>
      </c>
      <c r="BO9" s="213">
        <f>SUM($U9,$W9,$Y9,$AA9,$AC9,$AE9,$AG9)</f>
        <v>0</v>
      </c>
      <c r="BP9" s="208">
        <f>SUM($V9,$X9,$Z9,$AB9,$AD9,$AF9,$AH9)</f>
        <v>0</v>
      </c>
      <c r="BQ9" s="214">
        <f>SUM(BO9,BP9)</f>
        <v>0</v>
      </c>
      <c r="BR9" s="213">
        <f>SUM($W9,$Y9,$AA9,$AC9,$AE9,$AG9)</f>
        <v>0</v>
      </c>
      <c r="BS9" s="208">
        <f>SUM($X9,$Z9,$AB9,$AD9,$AF9,$AH9)</f>
        <v>0</v>
      </c>
      <c r="BT9" s="214">
        <f>SUM(BR9,BS9)</f>
        <v>0</v>
      </c>
      <c r="BU9" s="213">
        <f>SUM($Y9,$AA9,$AC9,$AE9,$AG9)</f>
        <v>0</v>
      </c>
      <c r="BV9" s="208">
        <f>SUM($Z9,$AB9,$AD9,$AF9,$AH9)</f>
        <v>0</v>
      </c>
      <c r="BW9" s="214">
        <f>SUM(BU9,BV9)</f>
        <v>0</v>
      </c>
      <c r="BX9" s="213">
        <f>SUM($AA9,$AC9,$AE9,$AG9)</f>
        <v>0</v>
      </c>
      <c r="BY9" s="208">
        <f>SUM($AB9,$AD9,$AF9,$AH9)</f>
        <v>0</v>
      </c>
      <c r="BZ9" s="214">
        <f>SUM(BX9,BY9)</f>
        <v>0</v>
      </c>
      <c r="CA9" s="213">
        <f>SUM($AC9,$AE9,$AG9)</f>
        <v>0</v>
      </c>
      <c r="CB9" s="208">
        <f>SUM($AD9,$AF9,$AH9)</f>
        <v>0</v>
      </c>
      <c r="CC9" s="214">
        <f>SUM(CA9,CB9)</f>
        <v>0</v>
      </c>
      <c r="CD9" s="213">
        <f>SUM($AE9,$AG9)</f>
        <v>0</v>
      </c>
      <c r="CE9" s="208">
        <f>SUM($AF9,$AH9)</f>
        <v>0</v>
      </c>
      <c r="CF9" s="214">
        <f>SUM(CD9,CE9)</f>
        <v>0</v>
      </c>
      <c r="CG9" s="213">
        <f>SUM($AE9,$AG9)</f>
        <v>0</v>
      </c>
      <c r="CH9" s="208">
        <f>SUM($AF9,$AH9)</f>
        <v>0</v>
      </c>
      <c r="CI9" s="214">
        <f>SUM(CG9,CH9)</f>
        <v>0</v>
      </c>
      <c r="CJ9" s="213">
        <f>SUM($AE9,$AG9)</f>
        <v>0</v>
      </c>
      <c r="CK9" s="208">
        <f>SUM($AF9,$AH9)</f>
        <v>0</v>
      </c>
      <c r="CL9" s="214">
        <f>SUM(CJ9,CK9)</f>
        <v>0</v>
      </c>
      <c r="CM9" s="213">
        <f>SUM($AE9,$AG9)</f>
        <v>0</v>
      </c>
      <c r="CN9" s="208">
        <f>SUM($AF9,$AH9)</f>
        <v>0</v>
      </c>
      <c r="CO9" s="214">
        <f>SUM(CM9,CN9)</f>
        <v>0</v>
      </c>
      <c r="CP9" s="213">
        <f>SUM($AE9,$AG9)</f>
        <v>0</v>
      </c>
      <c r="CQ9" s="208">
        <f>SUM($AF9,$AH9)</f>
        <v>0</v>
      </c>
      <c r="CR9" s="214">
        <f>SUM(CP9,CQ9)</f>
        <v>0</v>
      </c>
      <c r="CS9" s="213">
        <f>SUM($AE9,$AG9)</f>
        <v>0</v>
      </c>
      <c r="CT9" s="208">
        <f>SUM($AF9,$AH9)</f>
        <v>0</v>
      </c>
      <c r="CU9" s="214">
        <f>SUM(CS9,CT9)</f>
        <v>0</v>
      </c>
      <c r="CV9" s="213">
        <f>SUM($AE9,$AG9)</f>
        <v>0</v>
      </c>
      <c r="CW9" s="208">
        <f>SUM($AF9,$AH9)</f>
        <v>0</v>
      </c>
      <c r="CX9" s="214">
        <f>SUM(CV9,CW9)</f>
        <v>0</v>
      </c>
    </row>
    <row r="10" spans="1:102" ht="12.75">
      <c r="A10" s="207" t="s">
        <v>376</v>
      </c>
      <c r="B10" s="216"/>
      <c r="C10" s="208"/>
      <c r="D10" s="208"/>
      <c r="E10" s="795">
        <f>G10+I10+K10+M10+O10+Q10+S10+U10+W10+Y10+AA10+AC10+AE10+AG10+AI10+AK10+AM10+AO10+AQ10</f>
        <v>4200000</v>
      </c>
      <c r="F10" s="795">
        <f>H10+J10+L10+N10+P10+R10+T10+V10+X10+Z10+AB10+AD10+AF10+AH10+AJ10+AL10+AN10+AP10+AR10</f>
        <v>2220867</v>
      </c>
      <c r="G10" s="796"/>
      <c r="H10" s="796"/>
      <c r="I10" s="796"/>
      <c r="J10" s="797">
        <v>42268</v>
      </c>
      <c r="K10" s="796"/>
      <c r="L10" s="797">
        <v>288074</v>
      </c>
      <c r="M10" s="796">
        <v>323076.92</v>
      </c>
      <c r="N10" s="797">
        <v>240942</v>
      </c>
      <c r="O10" s="796">
        <v>323076.92</v>
      </c>
      <c r="P10" s="797">
        <v>228423</v>
      </c>
      <c r="Q10" s="796">
        <v>323076.92</v>
      </c>
      <c r="R10" s="797">
        <v>215117</v>
      </c>
      <c r="S10" s="796">
        <v>323076.92</v>
      </c>
      <c r="T10" s="797">
        <v>200973</v>
      </c>
      <c r="U10" s="796">
        <v>323076.92</v>
      </c>
      <c r="V10" s="797">
        <v>185939</v>
      </c>
      <c r="W10" s="796">
        <v>323076.92</v>
      </c>
      <c r="X10" s="797">
        <v>169959</v>
      </c>
      <c r="Y10" s="796">
        <v>323076.92</v>
      </c>
      <c r="Z10" s="797">
        <v>152971</v>
      </c>
      <c r="AA10" s="796">
        <v>323076.92</v>
      </c>
      <c r="AB10" s="797">
        <v>134914</v>
      </c>
      <c r="AC10" s="796">
        <v>323076.92</v>
      </c>
      <c r="AD10" s="797">
        <v>115720</v>
      </c>
      <c r="AE10" s="796">
        <v>323076.92</v>
      </c>
      <c r="AF10" s="797">
        <v>95316</v>
      </c>
      <c r="AG10" s="796">
        <v>323076.92</v>
      </c>
      <c r="AH10" s="797">
        <v>73626</v>
      </c>
      <c r="AI10" s="796">
        <v>323076.92</v>
      </c>
      <c r="AJ10" s="797">
        <v>50568</v>
      </c>
      <c r="AK10" s="796">
        <v>323076.96000000002</v>
      </c>
      <c r="AL10" s="797">
        <v>26057</v>
      </c>
      <c r="AM10" s="796"/>
      <c r="AN10" s="797"/>
      <c r="AO10" s="796"/>
      <c r="AP10" s="797"/>
      <c r="AQ10" s="796"/>
      <c r="AR10" s="797"/>
      <c r="AU10" s="207" t="str">
        <f t="shared" si="0"/>
        <v>kredyt jessica 2013</v>
      </c>
      <c r="AV10" s="208">
        <f t="shared" si="0"/>
        <v>0</v>
      </c>
      <c r="AW10" s="213">
        <v>0</v>
      </c>
      <c r="AX10" s="208">
        <v>0</v>
      </c>
      <c r="AY10" s="214">
        <f>SUM(AW10,AX10)</f>
        <v>0</v>
      </c>
      <c r="AZ10" s="213">
        <v>592000</v>
      </c>
      <c r="BA10" s="213">
        <f>SUM(J10,L10,N10,P10,R10,T10,V10,X10,Z10,AB10,AD10,AF10,AH10,AJ10,AL10)</f>
        <v>2220867</v>
      </c>
      <c r="BB10" s="214">
        <f>SUM(AZ10,BA10)</f>
        <v>2812867</v>
      </c>
      <c r="BC10" s="213">
        <v>4200000</v>
      </c>
      <c r="BD10" s="208">
        <f>SUM(L10,N10,P10,R10,T10,V10,X10,Z10,AB10,AD10,AF10,AH10,AJ10,AL10)</f>
        <v>2178599</v>
      </c>
      <c r="BE10" s="214">
        <f>SUM(BC10,BD10)</f>
        <v>6378599</v>
      </c>
      <c r="BF10" s="213">
        <f>SUM(O10,Q10,S10,U10,W10,Y10,AA10,AC10,AE10,AG10,AI10,AK10)</f>
        <v>3876923.0799999996</v>
      </c>
      <c r="BG10" s="213">
        <f>SUM(N10,P10,R10,T10,V10,X10,Z10,AB10,AD10,AF10,AH10,AJ10,AL10)</f>
        <v>1890525</v>
      </c>
      <c r="BH10" s="214">
        <f>SUM(BF10,BG10)</f>
        <v>5767448.0800000001</v>
      </c>
      <c r="BI10" s="213">
        <f>SUM(Q10,S10,U10,W10,Y10,AA10,AC10,AE10,AG10,AI10,AK10)</f>
        <v>3553846.1599999997</v>
      </c>
      <c r="BJ10" s="208">
        <f>SUM(P10,R10,T10,V10,X10,Z10,AB10,AD10,AF10,AH10,AJ10,AL10)</f>
        <v>1649583</v>
      </c>
      <c r="BK10" s="214">
        <f>SUM(BI10,BJ10)</f>
        <v>5203429.16</v>
      </c>
      <c r="BL10" s="213">
        <f>SUM(S10,U10,W10,Y10,AA10,AC10,AE10,AG10,AI10,AK10)</f>
        <v>3230769.2399999998</v>
      </c>
      <c r="BM10" s="208">
        <f>SUM(R10,T10,V10,X10,Z10,AB10,AD10,AF10,AH10,AJ10,AL10)</f>
        <v>1421160</v>
      </c>
      <c r="BN10" s="214">
        <f>SUM(BL10,BM10)</f>
        <v>4651929.24</v>
      </c>
      <c r="BO10" s="213">
        <f>SUM(U10,W10,Y10,AA10,AC10,AE10,AG10,AI10,AK10)</f>
        <v>2907692.32</v>
      </c>
      <c r="BP10" s="208">
        <f>SUM(T10,V10,X10,Z10,AB10,AD10,AF10,AH10,AJ10,AL10)</f>
        <v>1206043</v>
      </c>
      <c r="BQ10" s="214">
        <f>SUM(BO10,BP10)</f>
        <v>4113735.32</v>
      </c>
      <c r="BR10" s="213">
        <f>SUM(W10,Y10,AA10,AC10,AE10,AG10,AI10,AK10)</f>
        <v>2584615.4</v>
      </c>
      <c r="BS10" s="208">
        <f>SUM(V10,X10,Z10,AB10,AD10,AF10,AH10,AJ10,AL10)</f>
        <v>1005070</v>
      </c>
      <c r="BT10" s="214">
        <f>SUM(BR10,BS10)</f>
        <v>3589685.4</v>
      </c>
      <c r="BU10" s="213">
        <f>SUM(Y10,AA10,AC10,AE10,AG10,AI10,AK10)</f>
        <v>2261538.48</v>
      </c>
      <c r="BV10" s="211">
        <f>SUM(X10,Z10,AB10,AD10,AF10,AH10,AJ10,AL10)</f>
        <v>819131</v>
      </c>
      <c r="BW10" s="214">
        <f>SUM(BU10,BV10)</f>
        <v>3080669.48</v>
      </c>
      <c r="BX10" s="213">
        <f>SUM(AA10,AC10,AE10,AG10,AI10,AK10)</f>
        <v>1938461.5599999998</v>
      </c>
      <c r="BY10" s="211">
        <f>SUM(Z10,AB10,AD10,AF10,AH10,AJ10,AL10)</f>
        <v>649172</v>
      </c>
      <c r="BZ10" s="214">
        <f>SUM(BX10,BY10)</f>
        <v>2587633.5599999996</v>
      </c>
      <c r="CA10" s="213">
        <f>SUM(AC10,AE10,AG10,AI10,AK10)</f>
        <v>1615384.64</v>
      </c>
      <c r="CB10" s="211">
        <f>SUM(AB10,AD10,AF10,AH10,AJ10,AL10)</f>
        <v>496201</v>
      </c>
      <c r="CC10" s="214">
        <f>SUM(CA10,CB10)</f>
        <v>2111585.6399999997</v>
      </c>
      <c r="CD10" s="213">
        <f>SUM(AE10,AG10,AI10,AK10)</f>
        <v>1292307.72</v>
      </c>
      <c r="CE10" s="211">
        <f>SUM(AD10,AF10,AH10,AJ10,AL10)</f>
        <v>361287</v>
      </c>
      <c r="CF10" s="214">
        <f>SUM(CD10,CE10)</f>
        <v>1653594.72</v>
      </c>
      <c r="CG10" s="213">
        <f>SUM(AG10,AI10,AK10)</f>
        <v>969230.8</v>
      </c>
      <c r="CH10" s="211">
        <f>SUM(AF10,AH10,AJ10,AL10)</f>
        <v>245567</v>
      </c>
      <c r="CI10" s="214">
        <f>SUM(CG10,CH10)</f>
        <v>1214797.8</v>
      </c>
      <c r="CJ10" s="213">
        <f>SUM(AI10,AK10)</f>
        <v>646153.88</v>
      </c>
      <c r="CK10" s="211">
        <f>SUM(AH10,AJ10,AL10)</f>
        <v>150251</v>
      </c>
      <c r="CL10" s="214">
        <f>SUM(CJ10,CK10)</f>
        <v>796404.88</v>
      </c>
      <c r="CM10" s="213">
        <f>SUM(AK10)</f>
        <v>323076.96000000002</v>
      </c>
      <c r="CN10" s="211">
        <f>SUM(AJ10,AL10)</f>
        <v>76625</v>
      </c>
      <c r="CO10" s="214">
        <f>SUM(CM10,CN10)</f>
        <v>399701.96</v>
      </c>
      <c r="CP10" s="213">
        <v>0</v>
      </c>
      <c r="CQ10" s="211">
        <f>SUM(AL10)</f>
        <v>26057</v>
      </c>
      <c r="CR10" s="214">
        <f>SUM(CP10,CQ10)</f>
        <v>26057</v>
      </c>
      <c r="CS10" s="213">
        <v>0</v>
      </c>
      <c r="CT10" s="211">
        <f>SUM($AF10,$AH10)</f>
        <v>168942</v>
      </c>
      <c r="CU10" s="214">
        <f>SUM(CS10,CT10)</f>
        <v>168942</v>
      </c>
      <c r="CV10" s="213">
        <v>0</v>
      </c>
      <c r="CW10" s="211">
        <f>SUM($AF10,$AH10)</f>
        <v>168942</v>
      </c>
      <c r="CX10" s="214">
        <f>SUM(CV10,CW10)</f>
        <v>168942</v>
      </c>
    </row>
    <row r="11" spans="1:102" ht="12.75">
      <c r="A11" s="217" t="s">
        <v>271</v>
      </c>
      <c r="B11" s="218"/>
      <c r="C11" s="219">
        <f>SUM(C6:C10)</f>
        <v>0</v>
      </c>
      <c r="D11" s="219">
        <f t="shared" ref="D11" si="1">SUM(D6:D10)</f>
        <v>0</v>
      </c>
      <c r="E11" s="219">
        <f>SUM(E6:E9)</f>
        <v>0</v>
      </c>
      <c r="F11" s="219">
        <f>SUM(F6:F9)</f>
        <v>0</v>
      </c>
      <c r="G11" s="776">
        <f t="shared" ref="G11:AR11" si="2">SUM(G6:G9)</f>
        <v>0</v>
      </c>
      <c r="H11" s="776">
        <f t="shared" si="2"/>
        <v>0</v>
      </c>
      <c r="I11" s="776">
        <f t="shared" si="2"/>
        <v>0</v>
      </c>
      <c r="J11" s="776">
        <f>SUM(J10)</f>
        <v>42268</v>
      </c>
      <c r="K11" s="776">
        <f t="shared" si="2"/>
        <v>0</v>
      </c>
      <c r="L11" s="776">
        <f t="shared" ref="L11:AL11" si="3">SUM(L6:L10)</f>
        <v>288074</v>
      </c>
      <c r="M11" s="776">
        <f t="shared" si="3"/>
        <v>323076.92</v>
      </c>
      <c r="N11" s="776">
        <f t="shared" si="3"/>
        <v>240942</v>
      </c>
      <c r="O11" s="776">
        <f t="shared" si="3"/>
        <v>323076.92</v>
      </c>
      <c r="P11" s="776">
        <f t="shared" si="3"/>
        <v>228423</v>
      </c>
      <c r="Q11" s="776">
        <f t="shared" si="3"/>
        <v>323076.92</v>
      </c>
      <c r="R11" s="776">
        <f t="shared" si="3"/>
        <v>215117</v>
      </c>
      <c r="S11" s="776">
        <f t="shared" si="3"/>
        <v>323076.92</v>
      </c>
      <c r="T11" s="776">
        <f t="shared" si="3"/>
        <v>200973</v>
      </c>
      <c r="U11" s="776">
        <f t="shared" si="3"/>
        <v>323076.92</v>
      </c>
      <c r="V11" s="776">
        <f t="shared" si="3"/>
        <v>185939</v>
      </c>
      <c r="W11" s="776">
        <f t="shared" si="3"/>
        <v>323076.92</v>
      </c>
      <c r="X11" s="776">
        <f t="shared" si="3"/>
        <v>169959</v>
      </c>
      <c r="Y11" s="776">
        <f t="shared" si="3"/>
        <v>323076.92</v>
      </c>
      <c r="Z11" s="776">
        <f t="shared" si="3"/>
        <v>152971</v>
      </c>
      <c r="AA11" s="776">
        <f t="shared" si="3"/>
        <v>323076.92</v>
      </c>
      <c r="AB11" s="776">
        <f t="shared" si="3"/>
        <v>134914</v>
      </c>
      <c r="AC11" s="776">
        <f t="shared" si="3"/>
        <v>323076.92</v>
      </c>
      <c r="AD11" s="776">
        <f t="shared" si="3"/>
        <v>115720</v>
      </c>
      <c r="AE11" s="776">
        <f t="shared" si="3"/>
        <v>323076.92</v>
      </c>
      <c r="AF11" s="776">
        <f t="shared" si="3"/>
        <v>95316</v>
      </c>
      <c r="AG11" s="776">
        <f t="shared" si="3"/>
        <v>323076.92</v>
      </c>
      <c r="AH11" s="776">
        <f t="shared" si="3"/>
        <v>73626</v>
      </c>
      <c r="AI11" s="776">
        <f t="shared" si="3"/>
        <v>323076.92</v>
      </c>
      <c r="AJ11" s="776">
        <f t="shared" si="3"/>
        <v>50568</v>
      </c>
      <c r="AK11" s="776">
        <f t="shared" si="3"/>
        <v>323076.96000000002</v>
      </c>
      <c r="AL11" s="776">
        <f t="shared" si="3"/>
        <v>26057</v>
      </c>
      <c r="AM11" s="776">
        <f t="shared" si="2"/>
        <v>0</v>
      </c>
      <c r="AN11" s="776">
        <f t="shared" si="2"/>
        <v>0</v>
      </c>
      <c r="AO11" s="776">
        <f t="shared" si="2"/>
        <v>0</v>
      </c>
      <c r="AP11" s="776">
        <f t="shared" si="2"/>
        <v>0</v>
      </c>
      <c r="AQ11" s="776">
        <f t="shared" si="2"/>
        <v>0</v>
      </c>
      <c r="AR11" s="776">
        <f t="shared" si="2"/>
        <v>0</v>
      </c>
      <c r="AU11" s="217" t="s">
        <v>271</v>
      </c>
      <c r="AV11" s="220">
        <f>SUM(AV6,AV7,AV9,AV10)</f>
        <v>0</v>
      </c>
      <c r="AW11" s="221">
        <f>SUM(AW6:AW10)</f>
        <v>0</v>
      </c>
      <c r="AX11" s="222">
        <f t="shared" ref="AX11:CF11" si="4">SUM(AX6:AX10)</f>
        <v>0</v>
      </c>
      <c r="AY11" s="223">
        <f t="shared" si="4"/>
        <v>0</v>
      </c>
      <c r="AZ11" s="221">
        <f t="shared" si="4"/>
        <v>592000</v>
      </c>
      <c r="BA11" s="221">
        <f t="shared" si="4"/>
        <v>2220867</v>
      </c>
      <c r="BB11" s="221">
        <f t="shared" si="4"/>
        <v>2812867</v>
      </c>
      <c r="BC11" s="221">
        <f t="shared" si="4"/>
        <v>4200000</v>
      </c>
      <c r="BD11" s="221">
        <f t="shared" si="4"/>
        <v>2178599</v>
      </c>
      <c r="BE11" s="221">
        <f t="shared" si="4"/>
        <v>6378599</v>
      </c>
      <c r="BF11" s="221">
        <f t="shared" si="4"/>
        <v>3876923.0799999996</v>
      </c>
      <c r="BG11" s="221">
        <f t="shared" si="4"/>
        <v>1890525</v>
      </c>
      <c r="BH11" s="221">
        <f t="shared" si="4"/>
        <v>5767448.0800000001</v>
      </c>
      <c r="BI11" s="221">
        <f t="shared" si="4"/>
        <v>3553846.1599999997</v>
      </c>
      <c r="BJ11" s="221">
        <f t="shared" si="4"/>
        <v>1649583</v>
      </c>
      <c r="BK11" s="221">
        <f t="shared" si="4"/>
        <v>5203429.16</v>
      </c>
      <c r="BL11" s="221">
        <f t="shared" si="4"/>
        <v>3230769.2399999998</v>
      </c>
      <c r="BM11" s="221">
        <f t="shared" si="4"/>
        <v>1421160</v>
      </c>
      <c r="BN11" s="221">
        <f t="shared" si="4"/>
        <v>4651929.24</v>
      </c>
      <c r="BO11" s="221">
        <f t="shared" si="4"/>
        <v>2907692.32</v>
      </c>
      <c r="BP11" s="221">
        <f t="shared" si="4"/>
        <v>1206043</v>
      </c>
      <c r="BQ11" s="221">
        <f t="shared" si="4"/>
        <v>4113735.32</v>
      </c>
      <c r="BR11" s="221">
        <f t="shared" si="4"/>
        <v>2584615.4</v>
      </c>
      <c r="BS11" s="221">
        <f t="shared" si="4"/>
        <v>1005070</v>
      </c>
      <c r="BT11" s="221">
        <f t="shared" si="4"/>
        <v>3589685.4</v>
      </c>
      <c r="BU11" s="221">
        <f t="shared" si="4"/>
        <v>2261538.48</v>
      </c>
      <c r="BV11" s="221">
        <f t="shared" si="4"/>
        <v>819131</v>
      </c>
      <c r="BW11" s="221">
        <f t="shared" si="4"/>
        <v>3080669.48</v>
      </c>
      <c r="BX11" s="221">
        <f t="shared" si="4"/>
        <v>1938461.5599999998</v>
      </c>
      <c r="BY11" s="221">
        <f t="shared" si="4"/>
        <v>649172</v>
      </c>
      <c r="BZ11" s="221">
        <f t="shared" si="4"/>
        <v>2587633.5599999996</v>
      </c>
      <c r="CA11" s="221">
        <f t="shared" si="4"/>
        <v>1615384.64</v>
      </c>
      <c r="CB11" s="221">
        <f t="shared" si="4"/>
        <v>496201</v>
      </c>
      <c r="CC11" s="221">
        <f t="shared" si="4"/>
        <v>2111585.6399999997</v>
      </c>
      <c r="CD11" s="221">
        <f t="shared" si="4"/>
        <v>1292307.72</v>
      </c>
      <c r="CE11" s="221">
        <f t="shared" si="4"/>
        <v>361287</v>
      </c>
      <c r="CF11" s="221">
        <f t="shared" si="4"/>
        <v>1653594.72</v>
      </c>
      <c r="CG11" s="221">
        <f t="shared" ref="CG11:CI11" si="5">SUM(CG6:CG10)</f>
        <v>969230.8</v>
      </c>
      <c r="CH11" s="221">
        <f t="shared" si="5"/>
        <v>245567</v>
      </c>
      <c r="CI11" s="221">
        <f t="shared" si="5"/>
        <v>1214797.8</v>
      </c>
      <c r="CJ11" s="221">
        <f t="shared" ref="CJ11:CX11" si="6">SUM(CJ6:CJ10)</f>
        <v>646153.88</v>
      </c>
      <c r="CK11" s="221">
        <f t="shared" si="6"/>
        <v>150251</v>
      </c>
      <c r="CL11" s="221">
        <f t="shared" si="6"/>
        <v>796404.88</v>
      </c>
      <c r="CM11" s="221">
        <f t="shared" si="6"/>
        <v>323076.96000000002</v>
      </c>
      <c r="CN11" s="221">
        <f t="shared" si="6"/>
        <v>76625</v>
      </c>
      <c r="CO11" s="221">
        <f t="shared" si="6"/>
        <v>399701.96</v>
      </c>
      <c r="CP11" s="221">
        <f t="shared" si="6"/>
        <v>0</v>
      </c>
      <c r="CQ11" s="221">
        <f t="shared" si="6"/>
        <v>26057</v>
      </c>
      <c r="CR11" s="221">
        <f t="shared" si="6"/>
        <v>26057</v>
      </c>
      <c r="CS11" s="221">
        <f t="shared" si="6"/>
        <v>0</v>
      </c>
      <c r="CT11" s="221">
        <f t="shared" si="6"/>
        <v>168942</v>
      </c>
      <c r="CU11" s="221">
        <f t="shared" si="6"/>
        <v>168942</v>
      </c>
      <c r="CV11" s="221">
        <f t="shared" si="6"/>
        <v>0</v>
      </c>
      <c r="CW11" s="221">
        <f t="shared" si="6"/>
        <v>168942</v>
      </c>
      <c r="CX11" s="221">
        <f t="shared" si="6"/>
        <v>168942</v>
      </c>
    </row>
    <row r="12" spans="1:102" ht="14.25" thickBot="1">
      <c r="A12" s="224"/>
      <c r="B12" s="225" t="s">
        <v>272</v>
      </c>
      <c r="C12" s="1544">
        <f>SUM(C11,D11)</f>
        <v>0</v>
      </c>
      <c r="D12" s="1544"/>
      <c r="E12" s="1544">
        <f>SUM(E11,F11)</f>
        <v>0</v>
      </c>
      <c r="F12" s="1544"/>
      <c r="G12" s="1544">
        <f>SUM(G11,H11)</f>
        <v>0</v>
      </c>
      <c r="H12" s="1544"/>
      <c r="I12" s="1544">
        <f>SUM(I11,J11)</f>
        <v>42268</v>
      </c>
      <c r="J12" s="1544"/>
      <c r="K12" s="1544">
        <f>SUM(K11,L11)</f>
        <v>288074</v>
      </c>
      <c r="L12" s="1544"/>
      <c r="M12" s="1544">
        <f>SUM(M11,N11)</f>
        <v>564018.91999999993</v>
      </c>
      <c r="N12" s="1544"/>
      <c r="O12" s="1544">
        <f>SUM(O11,P11)</f>
        <v>551499.91999999993</v>
      </c>
      <c r="P12" s="1545"/>
      <c r="Q12" s="1544">
        <f>SUM(Q11,R11)</f>
        <v>538193.91999999993</v>
      </c>
      <c r="R12" s="1544"/>
      <c r="S12" s="1544">
        <f>SUM(S11,T11)</f>
        <v>524049.91999999998</v>
      </c>
      <c r="T12" s="1544"/>
      <c r="U12" s="1544">
        <f>SUM(U11,V11)</f>
        <v>509015.92</v>
      </c>
      <c r="V12" s="1544"/>
      <c r="W12" s="1544">
        <f>SUM(W11,X11)</f>
        <v>493035.92</v>
      </c>
      <c r="X12" s="1544"/>
      <c r="Y12" s="1544">
        <f>SUM(Y11,Z11)</f>
        <v>476047.92</v>
      </c>
      <c r="Z12" s="1544"/>
      <c r="AA12" s="1544">
        <f>SUM(AA11,AB11)</f>
        <v>457990.92</v>
      </c>
      <c r="AB12" s="1545"/>
      <c r="AC12" s="1544">
        <f>SUM(AC11,AD11)</f>
        <v>438796.92</v>
      </c>
      <c r="AD12" s="1544"/>
      <c r="AE12" s="1546">
        <f>SUM(AE11,AF11)</f>
        <v>418392.92</v>
      </c>
      <c r="AF12" s="1545"/>
      <c r="AG12" s="1544">
        <f>SUM(AG11,AH11)</f>
        <v>396702.92</v>
      </c>
      <c r="AH12" s="1561"/>
      <c r="AI12" s="1544">
        <f>SUM(AI11,AJ11)</f>
        <v>373644.92</v>
      </c>
      <c r="AJ12" s="1561"/>
      <c r="AK12" s="1544">
        <f>SUM(AK11,AL11)</f>
        <v>349133.96</v>
      </c>
      <c r="AL12" s="1561"/>
      <c r="AM12" s="1544">
        <f>SUM(AM11,AN11)</f>
        <v>0</v>
      </c>
      <c r="AN12" s="1561"/>
      <c r="AO12" s="1544">
        <f>SUM(AO11,AP11)</f>
        <v>0</v>
      </c>
      <c r="AP12" s="1561"/>
      <c r="AQ12" s="1544">
        <f>SUM(AQ11,AR11)</f>
        <v>0</v>
      </c>
      <c r="AR12" s="1561"/>
      <c r="AU12" s="226"/>
      <c r="AV12" s="227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</row>
    <row r="13" spans="1:102" ht="12.75">
      <c r="A13" s="224" t="s">
        <v>273</v>
      </c>
      <c r="B13" s="229" t="s">
        <v>274</v>
      </c>
      <c r="C13" s="229" t="s">
        <v>267</v>
      </c>
      <c r="D13" s="229" t="s">
        <v>268</v>
      </c>
      <c r="E13" s="229" t="s">
        <v>267</v>
      </c>
      <c r="F13" s="229" t="s">
        <v>268</v>
      </c>
      <c r="G13" s="229" t="s">
        <v>267</v>
      </c>
      <c r="H13" s="229" t="s">
        <v>268</v>
      </c>
      <c r="I13" s="229" t="s">
        <v>267</v>
      </c>
      <c r="J13" s="229" t="s">
        <v>268</v>
      </c>
      <c r="K13" s="229" t="s">
        <v>267</v>
      </c>
      <c r="L13" s="229" t="s">
        <v>268</v>
      </c>
      <c r="M13" s="229" t="s">
        <v>267</v>
      </c>
      <c r="N13" s="229" t="s">
        <v>268</v>
      </c>
      <c r="O13" s="229" t="s">
        <v>267</v>
      </c>
      <c r="P13" s="230" t="s">
        <v>268</v>
      </c>
      <c r="Q13" s="229" t="s">
        <v>267</v>
      </c>
      <c r="R13" s="229" t="s">
        <v>268</v>
      </c>
      <c r="S13" s="229" t="s">
        <v>267</v>
      </c>
      <c r="T13" s="229" t="s">
        <v>268</v>
      </c>
      <c r="U13" s="229" t="s">
        <v>267</v>
      </c>
      <c r="V13" s="229" t="s">
        <v>268</v>
      </c>
      <c r="W13" s="229" t="s">
        <v>267</v>
      </c>
      <c r="X13" s="229" t="s">
        <v>268</v>
      </c>
      <c r="Y13" s="229" t="s">
        <v>267</v>
      </c>
      <c r="Z13" s="229" t="s">
        <v>268</v>
      </c>
      <c r="AA13" s="229" t="s">
        <v>267</v>
      </c>
      <c r="AB13" s="230" t="s">
        <v>268</v>
      </c>
      <c r="AC13" s="229" t="s">
        <v>267</v>
      </c>
      <c r="AD13" s="229" t="s">
        <v>268</v>
      </c>
      <c r="AE13" s="231" t="s">
        <v>267</v>
      </c>
      <c r="AF13" s="230" t="s">
        <v>268</v>
      </c>
      <c r="AG13" s="229" t="s">
        <v>267</v>
      </c>
      <c r="AH13" s="232" t="s">
        <v>268</v>
      </c>
      <c r="AI13" s="229" t="s">
        <v>267</v>
      </c>
      <c r="AJ13" s="232" t="s">
        <v>268</v>
      </c>
      <c r="AK13" s="229" t="s">
        <v>267</v>
      </c>
      <c r="AL13" s="232" t="s">
        <v>268</v>
      </c>
      <c r="AM13" s="229" t="s">
        <v>267</v>
      </c>
      <c r="AN13" s="232" t="s">
        <v>268</v>
      </c>
      <c r="AO13" s="229" t="s">
        <v>267</v>
      </c>
      <c r="AP13" s="232" t="s">
        <v>268</v>
      </c>
      <c r="AQ13" s="229" t="s">
        <v>267</v>
      </c>
      <c r="AR13" s="232" t="s">
        <v>268</v>
      </c>
      <c r="AU13" s="233" t="s">
        <v>273</v>
      </c>
      <c r="AV13" s="234" t="s">
        <v>274</v>
      </c>
      <c r="AW13" s="235" t="s">
        <v>267</v>
      </c>
      <c r="AX13" s="236" t="s">
        <v>268</v>
      </c>
      <c r="AY13" s="237" t="s">
        <v>269</v>
      </c>
      <c r="AZ13" s="235" t="s">
        <v>267</v>
      </c>
      <c r="BA13" s="236" t="s">
        <v>268</v>
      </c>
      <c r="BB13" s="237" t="s">
        <v>269</v>
      </c>
      <c r="BC13" s="235" t="s">
        <v>267</v>
      </c>
      <c r="BD13" s="236" t="s">
        <v>268</v>
      </c>
      <c r="BE13" s="237" t="s">
        <v>269</v>
      </c>
      <c r="BF13" s="235" t="s">
        <v>267</v>
      </c>
      <c r="BG13" s="236" t="s">
        <v>268</v>
      </c>
      <c r="BH13" s="237" t="s">
        <v>269</v>
      </c>
      <c r="BI13" s="235" t="s">
        <v>267</v>
      </c>
      <c r="BJ13" s="236" t="s">
        <v>268</v>
      </c>
      <c r="BK13" s="237" t="s">
        <v>269</v>
      </c>
      <c r="BL13" s="235" t="s">
        <v>267</v>
      </c>
      <c r="BM13" s="236" t="s">
        <v>268</v>
      </c>
      <c r="BN13" s="237" t="s">
        <v>269</v>
      </c>
      <c r="BO13" s="235" t="s">
        <v>267</v>
      </c>
      <c r="BP13" s="236" t="s">
        <v>268</v>
      </c>
      <c r="BQ13" s="237" t="s">
        <v>269</v>
      </c>
      <c r="BR13" s="235" t="s">
        <v>267</v>
      </c>
      <c r="BS13" s="236" t="s">
        <v>268</v>
      </c>
      <c r="BT13" s="237" t="s">
        <v>269</v>
      </c>
      <c r="BU13" s="235" t="s">
        <v>267</v>
      </c>
      <c r="BV13" s="236" t="s">
        <v>268</v>
      </c>
      <c r="BW13" s="237" t="s">
        <v>269</v>
      </c>
      <c r="BX13" s="235" t="s">
        <v>267</v>
      </c>
      <c r="BY13" s="236" t="s">
        <v>268</v>
      </c>
      <c r="BZ13" s="237" t="s">
        <v>269</v>
      </c>
      <c r="CA13" s="235" t="s">
        <v>267</v>
      </c>
      <c r="CB13" s="236" t="s">
        <v>268</v>
      </c>
      <c r="CC13" s="237" t="s">
        <v>269</v>
      </c>
      <c r="CD13" s="235" t="s">
        <v>267</v>
      </c>
      <c r="CE13" s="236" t="s">
        <v>268</v>
      </c>
      <c r="CF13" s="237" t="s">
        <v>269</v>
      </c>
      <c r="CG13" s="235" t="s">
        <v>267</v>
      </c>
      <c r="CH13" s="236" t="s">
        <v>268</v>
      </c>
      <c r="CI13" s="237" t="s">
        <v>269</v>
      </c>
      <c r="CJ13" s="235" t="s">
        <v>267</v>
      </c>
      <c r="CK13" s="236" t="s">
        <v>268</v>
      </c>
      <c r="CL13" s="237" t="s">
        <v>269</v>
      </c>
      <c r="CM13" s="235" t="s">
        <v>267</v>
      </c>
      <c r="CN13" s="236" t="s">
        <v>268</v>
      </c>
      <c r="CO13" s="237" t="s">
        <v>269</v>
      </c>
      <c r="CP13" s="235" t="s">
        <v>267</v>
      </c>
      <c r="CQ13" s="236" t="s">
        <v>268</v>
      </c>
      <c r="CR13" s="237" t="s">
        <v>269</v>
      </c>
      <c r="CS13" s="235" t="s">
        <v>267</v>
      </c>
      <c r="CT13" s="236" t="s">
        <v>268</v>
      </c>
      <c r="CU13" s="237" t="s">
        <v>269</v>
      </c>
      <c r="CV13" s="235" t="s">
        <v>267</v>
      </c>
      <c r="CW13" s="236" t="s">
        <v>268</v>
      </c>
      <c r="CX13" s="237" t="s">
        <v>269</v>
      </c>
    </row>
    <row r="14" spans="1:102" ht="13.5">
      <c r="A14" s="238" t="s">
        <v>200</v>
      </c>
      <c r="B14" s="239">
        <v>518029</v>
      </c>
      <c r="C14" s="240">
        <v>57559</v>
      </c>
      <c r="D14" s="240">
        <v>2862.48</v>
      </c>
      <c r="E14" s="240">
        <f t="shared" ref="E14:E29" si="7">G14+I14+K14+M14+O14+Q14+S14+U14+W14+Y14+AA14+AC14+AE14+AG14</f>
        <v>115116</v>
      </c>
      <c r="F14" s="240">
        <f>H14+J14+L14+N14+P14+R14</f>
        <v>1733.42</v>
      </c>
      <c r="G14" s="240">
        <v>57559</v>
      </c>
      <c r="H14" s="241">
        <v>1266.73</v>
      </c>
      <c r="I14" s="240">
        <v>57557</v>
      </c>
      <c r="J14" s="240">
        <v>466.69</v>
      </c>
      <c r="K14" s="240"/>
      <c r="L14" s="240"/>
      <c r="M14" s="241"/>
      <c r="N14" s="241"/>
      <c r="O14" s="240"/>
      <c r="P14" s="240"/>
      <c r="Q14" s="240"/>
      <c r="R14" s="240"/>
      <c r="S14" s="240"/>
      <c r="T14" s="241"/>
      <c r="U14" s="240"/>
      <c r="V14" s="241"/>
      <c r="W14" s="240"/>
      <c r="X14" s="240"/>
      <c r="Y14" s="242"/>
      <c r="Z14" s="241"/>
      <c r="AA14" s="240"/>
      <c r="AB14" s="243"/>
      <c r="AC14" s="240"/>
      <c r="AD14" s="243"/>
      <c r="AE14" s="240"/>
      <c r="AF14" s="243"/>
      <c r="AG14" s="240"/>
      <c r="AH14" s="243"/>
      <c r="AI14" s="240"/>
      <c r="AJ14" s="243"/>
      <c r="AK14" s="240"/>
      <c r="AL14" s="243"/>
      <c r="AM14" s="240"/>
      <c r="AN14" s="243"/>
      <c r="AO14" s="240"/>
      <c r="AP14" s="243"/>
      <c r="AQ14" s="240"/>
      <c r="AR14" s="243"/>
      <c r="AU14" s="244" t="str">
        <f t="shared" ref="AU14:AV28" si="8">A14</f>
        <v>WFOŚiGW 19/2004/76/OA/no/P</v>
      </c>
      <c r="AV14" s="245">
        <f t="shared" si="8"/>
        <v>518029</v>
      </c>
      <c r="AW14" s="246">
        <f t="shared" ref="AW14:AW24" si="9">SUM($I14,$K14,$M14,$O14,$Q14,$S14,$U14,$W14,$Y14,$AA14,$AC14,$AE14,$AG14)</f>
        <v>57557</v>
      </c>
      <c r="AX14" s="245">
        <f t="shared" ref="AX14:AX24" si="10">SUM($J14,$L14,$N14,$P14,$R14,$T14,$V14,$X14,$Z14,$AB14,$AD14,$AF14,$AH14)</f>
        <v>466.69</v>
      </c>
      <c r="AY14" s="247">
        <f t="shared" ref="AY14:AY24" si="11">SUM(AW14,AX14)</f>
        <v>58023.69</v>
      </c>
      <c r="AZ14" s="246">
        <f t="shared" ref="AZ14:AZ27" si="12">SUM($K14,$M14,$O14,$Q14,$S14,$U14,$W14,$Y14,$AA14,$AC14,$AE14,$AG14)</f>
        <v>0</v>
      </c>
      <c r="BA14" s="245">
        <f t="shared" ref="BA14:BA27" si="13">SUM($L14,$N14,$P14,$R14,$T14,$V14,$X14,$Z14,$AB14,$AD14,$AF14,$AH14)</f>
        <v>0</v>
      </c>
      <c r="BB14" s="247">
        <f t="shared" ref="BB14:BB27" si="14">SUM(AZ14,BA14)</f>
        <v>0</v>
      </c>
      <c r="BC14" s="246">
        <f t="shared" ref="BC14:BC28" si="15">SUM($M14,$O14,$Q14,$S14,$U14,$W14,$Y14,$AA14,$AC14,$AE14,$AG14)</f>
        <v>0</v>
      </c>
      <c r="BD14" s="245">
        <f t="shared" ref="BD14:BD28" si="16">SUM($N14,$P14,$R14,$T14,$V14,$X14,$Z14,$AB14,$AD14,$AF14,$AH14)</f>
        <v>0</v>
      </c>
      <c r="BE14" s="247">
        <f t="shared" ref="BE14:BE27" si="17">SUM(BC14,BD14)</f>
        <v>0</v>
      </c>
      <c r="BF14" s="246">
        <f t="shared" ref="BF14:BF29" si="18">SUM($O14,$Q14,$S14,$U14,$W14,$Y14,$AA14,$AC14,$AE14,$AG14)</f>
        <v>0</v>
      </c>
      <c r="BG14" s="245">
        <f t="shared" ref="BG14:BG29" si="19">SUM($P14,$R14,$T14,$V14,$X14,$Z14,$AB14,$AD14,$AF14,$AH14)</f>
        <v>0</v>
      </c>
      <c r="BH14" s="247">
        <f t="shared" ref="BH14:BH27" si="20">SUM(BF14,BG14)</f>
        <v>0</v>
      </c>
      <c r="BI14" s="246">
        <f t="shared" ref="BI14:BI29" si="21">SUM($Q14,$S14,$U14,$W14,$Y14,$AA14,$AC14,$AE14,$AG14)</f>
        <v>0</v>
      </c>
      <c r="BJ14" s="245">
        <f t="shared" ref="BJ14:BJ29" si="22">SUM($R14,$T14,$V14,$X14,$Z14,$AB14,$AD14,$AF14,$AH14)</f>
        <v>0</v>
      </c>
      <c r="BK14" s="247">
        <f t="shared" ref="BK14:BK27" si="23">SUM(BI14,BJ14)</f>
        <v>0</v>
      </c>
      <c r="BL14" s="246">
        <f t="shared" ref="BL14:BL29" si="24">SUM($S14,$U14,$W14,$Y14,$AA14,$AC14,$AE14,$AG14)</f>
        <v>0</v>
      </c>
      <c r="BM14" s="245">
        <f t="shared" ref="BM14:BM29" si="25">SUM($T14,$V14,$X14,$Z14,$AB14,$AD14,$AF14,$AH14)</f>
        <v>0</v>
      </c>
      <c r="BN14" s="247">
        <f t="shared" ref="BN14:BN27" si="26">SUM(BL14,BM14)</f>
        <v>0</v>
      </c>
      <c r="BO14" s="246">
        <f t="shared" ref="BO14:BO29" si="27">SUM($U14,$W14,$Y14,$AA14,$AC14,$AE14,$AG14)</f>
        <v>0</v>
      </c>
      <c r="BP14" s="245">
        <f t="shared" ref="BP14:BP29" si="28">SUM($V14,$X14,$Z14,$AB14,$AD14,$AF14,$AH14)</f>
        <v>0</v>
      </c>
      <c r="BQ14" s="247">
        <f t="shared" ref="BQ14:BQ27" si="29">SUM(BO14,BP14)</f>
        <v>0</v>
      </c>
      <c r="BR14" s="246">
        <f t="shared" ref="BR14:BR29" si="30">SUM($W14,$Y14,$AA14,$AC14,$AE14,$AG14)</f>
        <v>0</v>
      </c>
      <c r="BS14" s="245">
        <f t="shared" ref="BS14:BS29" si="31">SUM($X14,$Z14,$AB14,$AD14,$AF14,$AH14)</f>
        <v>0</v>
      </c>
      <c r="BT14" s="247">
        <f t="shared" ref="BT14:BT27" si="32">SUM(BR14,BS14)</f>
        <v>0</v>
      </c>
      <c r="BU14" s="246">
        <f t="shared" ref="BU14:BU29" si="33">SUM($Y14,$AA14,$AC14,$AE14,$AG14)</f>
        <v>0</v>
      </c>
      <c r="BV14" s="245">
        <f t="shared" ref="BV14:BV29" si="34">SUM($Z14,$AB14,$AD14,$AF14,$AH14)</f>
        <v>0</v>
      </c>
      <c r="BW14" s="247">
        <f t="shared" ref="BW14:BW27" si="35">SUM(BU14,BV14)</f>
        <v>0</v>
      </c>
      <c r="BX14" s="246">
        <f t="shared" ref="BX14:BX29" si="36">SUM($AA14,$AC14,$AE14,$AG14)</f>
        <v>0</v>
      </c>
      <c r="BY14" s="245">
        <f t="shared" ref="BY14:BY29" si="37">SUM($AB14,$AD14,$AF14,$AH14)</f>
        <v>0</v>
      </c>
      <c r="BZ14" s="247">
        <f t="shared" ref="BZ14:BZ27" si="38">SUM(BX14,BY14)</f>
        <v>0</v>
      </c>
      <c r="CA14" s="245">
        <f t="shared" ref="CA14:CA29" si="39">SUM($AC14,$AE14,$AG14)</f>
        <v>0</v>
      </c>
      <c r="CB14" s="245">
        <f t="shared" ref="CB14:CB29" si="40">SUM($AD14,$AF14,$AH14)</f>
        <v>0</v>
      </c>
      <c r="CC14" s="247">
        <f t="shared" ref="CC14:CC27" si="41">SUM(CA14,CB14)</f>
        <v>0</v>
      </c>
      <c r="CD14" s="245">
        <f t="shared" ref="CD14:CD29" si="42">SUM($AE14,$AG14)</f>
        <v>0</v>
      </c>
      <c r="CE14" s="245">
        <f t="shared" ref="CE14:CE29" si="43">SUM($AF14,$AH14)</f>
        <v>0</v>
      </c>
      <c r="CF14" s="247">
        <f t="shared" ref="CF14:CF26" si="44">SUM(CD14,CE14)</f>
        <v>0</v>
      </c>
      <c r="CG14" s="245">
        <f t="shared" ref="CG14:CG26" si="45">SUM($AE14,$AG14)</f>
        <v>0</v>
      </c>
      <c r="CH14" s="245">
        <f t="shared" ref="CH14:CH26" si="46">SUM($AF14,$AH14)</f>
        <v>0</v>
      </c>
      <c r="CI14" s="247">
        <f t="shared" ref="CI14:CI28" si="47">SUM(CG14,CH14)</f>
        <v>0</v>
      </c>
      <c r="CJ14" s="245">
        <f t="shared" ref="CJ14:CJ26" si="48">SUM($AE14,$AG14)</f>
        <v>0</v>
      </c>
      <c r="CK14" s="245">
        <f t="shared" ref="CK14:CK26" si="49">SUM($AF14,$AH14)</f>
        <v>0</v>
      </c>
      <c r="CL14" s="247">
        <f t="shared" ref="CL14:CL28" si="50">SUM(CJ14,CK14)</f>
        <v>0</v>
      </c>
      <c r="CM14" s="245">
        <f t="shared" ref="CM14:CM26" si="51">SUM($AE14,$AG14)</f>
        <v>0</v>
      </c>
      <c r="CN14" s="245">
        <f t="shared" ref="CN14:CN26" si="52">SUM($AF14,$AH14)</f>
        <v>0</v>
      </c>
      <c r="CO14" s="247">
        <f t="shared" ref="CO14:CO28" si="53">SUM(CM14,CN14)</f>
        <v>0</v>
      </c>
      <c r="CP14" s="245">
        <f t="shared" ref="CP14:CP26" si="54">SUM($AE14,$AG14)</f>
        <v>0</v>
      </c>
      <c r="CQ14" s="245">
        <f t="shared" ref="CQ14:CQ26" si="55">SUM($AF14,$AH14)</f>
        <v>0</v>
      </c>
      <c r="CR14" s="247">
        <f t="shared" ref="CR14:CR28" si="56">SUM(CP14,CQ14)</f>
        <v>0</v>
      </c>
      <c r="CS14" s="245">
        <f t="shared" ref="CS14:CS26" si="57">SUM($AE14,$AG14)</f>
        <v>0</v>
      </c>
      <c r="CT14" s="245">
        <f t="shared" ref="CT14:CT26" si="58">SUM($AF14,$AH14)</f>
        <v>0</v>
      </c>
      <c r="CU14" s="247">
        <f t="shared" ref="CU14:CU28" si="59">SUM(CS14,CT14)</f>
        <v>0</v>
      </c>
      <c r="CV14" s="245">
        <f t="shared" ref="CV14:CV26" si="60">SUM($AE14,$AG14)</f>
        <v>0</v>
      </c>
      <c r="CW14" s="245">
        <f t="shared" ref="CW14:CW26" si="61">SUM($AF14,$AH14)</f>
        <v>0</v>
      </c>
      <c r="CX14" s="247">
        <f t="shared" ref="CX14:CX28" si="62">SUM(CV14,CW14)</f>
        <v>0</v>
      </c>
    </row>
    <row r="15" spans="1:102" ht="13.5">
      <c r="A15" s="238" t="s">
        <v>201</v>
      </c>
      <c r="B15" s="239">
        <v>1498996</v>
      </c>
      <c r="C15" s="240">
        <v>171911</v>
      </c>
      <c r="D15" s="240">
        <v>33338.980000000003</v>
      </c>
      <c r="E15" s="240">
        <f t="shared" si="7"/>
        <v>799416</v>
      </c>
      <c r="F15" s="240">
        <f t="shared" ref="F15:F29" si="63">H15+J15+L15+N15+P15+R15+T15+V15+X15+Z15+AB15+AD15+AF15+AH15</f>
        <v>50290.840000000004</v>
      </c>
      <c r="G15" s="240">
        <v>199880</v>
      </c>
      <c r="H15" s="240">
        <v>21567.29</v>
      </c>
      <c r="I15" s="240">
        <v>199880</v>
      </c>
      <c r="J15" s="241">
        <v>15570.89</v>
      </c>
      <c r="K15" s="240">
        <v>199880</v>
      </c>
      <c r="L15" s="240">
        <v>9574.48</v>
      </c>
      <c r="M15" s="240">
        <v>199776</v>
      </c>
      <c r="N15" s="240">
        <v>3578.18</v>
      </c>
      <c r="O15" s="240"/>
      <c r="P15" s="240"/>
      <c r="Q15" s="240"/>
      <c r="R15" s="240"/>
      <c r="S15" s="240"/>
      <c r="T15" s="241"/>
      <c r="U15" s="240"/>
      <c r="V15" s="241"/>
      <c r="W15" s="240"/>
      <c r="X15" s="240"/>
      <c r="Y15" s="242"/>
      <c r="Z15" s="241"/>
      <c r="AA15" s="240"/>
      <c r="AB15" s="243"/>
      <c r="AC15" s="240"/>
      <c r="AD15" s="243"/>
      <c r="AE15" s="240"/>
      <c r="AF15" s="243"/>
      <c r="AG15" s="240"/>
      <c r="AH15" s="243"/>
      <c r="AI15" s="240"/>
      <c r="AJ15" s="243"/>
      <c r="AK15" s="240"/>
      <c r="AL15" s="243"/>
      <c r="AM15" s="240"/>
      <c r="AN15" s="243"/>
      <c r="AO15" s="240"/>
      <c r="AP15" s="243"/>
      <c r="AQ15" s="240"/>
      <c r="AR15" s="243"/>
      <c r="AU15" s="244" t="str">
        <f t="shared" si="8"/>
        <v>WFOŚiGW 37/2005/76/OA/po/P</v>
      </c>
      <c r="AV15" s="245">
        <f t="shared" si="8"/>
        <v>1498996</v>
      </c>
      <c r="AW15" s="246">
        <f t="shared" si="9"/>
        <v>599536</v>
      </c>
      <c r="AX15" s="245">
        <f t="shared" si="10"/>
        <v>28723.55</v>
      </c>
      <c r="AY15" s="247">
        <f t="shared" si="11"/>
        <v>628259.55000000005</v>
      </c>
      <c r="AZ15" s="246">
        <f t="shared" si="12"/>
        <v>399656</v>
      </c>
      <c r="BA15" s="245">
        <f t="shared" si="13"/>
        <v>13152.66</v>
      </c>
      <c r="BB15" s="247">
        <f t="shared" si="14"/>
        <v>412808.66</v>
      </c>
      <c r="BC15" s="246">
        <f t="shared" si="15"/>
        <v>199776</v>
      </c>
      <c r="BD15" s="245">
        <f t="shared" si="16"/>
        <v>3578.18</v>
      </c>
      <c r="BE15" s="247">
        <f t="shared" si="17"/>
        <v>203354.18</v>
      </c>
      <c r="BF15" s="246">
        <f t="shared" si="18"/>
        <v>0</v>
      </c>
      <c r="BG15" s="245">
        <f t="shared" si="19"/>
        <v>0</v>
      </c>
      <c r="BH15" s="247">
        <f t="shared" si="20"/>
        <v>0</v>
      </c>
      <c r="BI15" s="246">
        <f t="shared" si="21"/>
        <v>0</v>
      </c>
      <c r="BJ15" s="245">
        <f t="shared" si="22"/>
        <v>0</v>
      </c>
      <c r="BK15" s="247">
        <f t="shared" si="23"/>
        <v>0</v>
      </c>
      <c r="BL15" s="246">
        <f t="shared" si="24"/>
        <v>0</v>
      </c>
      <c r="BM15" s="245">
        <f t="shared" si="25"/>
        <v>0</v>
      </c>
      <c r="BN15" s="247">
        <f t="shared" si="26"/>
        <v>0</v>
      </c>
      <c r="BO15" s="246">
        <f t="shared" si="27"/>
        <v>0</v>
      </c>
      <c r="BP15" s="245">
        <f t="shared" si="28"/>
        <v>0</v>
      </c>
      <c r="BQ15" s="247">
        <f t="shared" si="29"/>
        <v>0</v>
      </c>
      <c r="BR15" s="246">
        <f t="shared" si="30"/>
        <v>0</v>
      </c>
      <c r="BS15" s="245">
        <f t="shared" si="31"/>
        <v>0</v>
      </c>
      <c r="BT15" s="247">
        <f t="shared" si="32"/>
        <v>0</v>
      </c>
      <c r="BU15" s="246">
        <f t="shared" si="33"/>
        <v>0</v>
      </c>
      <c r="BV15" s="245">
        <f t="shared" si="34"/>
        <v>0</v>
      </c>
      <c r="BW15" s="247">
        <f t="shared" si="35"/>
        <v>0</v>
      </c>
      <c r="BX15" s="246">
        <f t="shared" si="36"/>
        <v>0</v>
      </c>
      <c r="BY15" s="245">
        <f t="shared" si="37"/>
        <v>0</v>
      </c>
      <c r="BZ15" s="247">
        <f t="shared" si="38"/>
        <v>0</v>
      </c>
      <c r="CA15" s="245">
        <f t="shared" si="39"/>
        <v>0</v>
      </c>
      <c r="CB15" s="245">
        <f t="shared" si="40"/>
        <v>0</v>
      </c>
      <c r="CC15" s="247">
        <f t="shared" si="41"/>
        <v>0</v>
      </c>
      <c r="CD15" s="245">
        <f t="shared" si="42"/>
        <v>0</v>
      </c>
      <c r="CE15" s="245">
        <f t="shared" si="43"/>
        <v>0</v>
      </c>
      <c r="CF15" s="247">
        <f t="shared" si="44"/>
        <v>0</v>
      </c>
      <c r="CG15" s="245">
        <f t="shared" si="45"/>
        <v>0</v>
      </c>
      <c r="CH15" s="245">
        <f t="shared" si="46"/>
        <v>0</v>
      </c>
      <c r="CI15" s="247">
        <f t="shared" si="47"/>
        <v>0</v>
      </c>
      <c r="CJ15" s="245">
        <f t="shared" si="48"/>
        <v>0</v>
      </c>
      <c r="CK15" s="245">
        <f t="shared" si="49"/>
        <v>0</v>
      </c>
      <c r="CL15" s="247">
        <f t="shared" si="50"/>
        <v>0</v>
      </c>
      <c r="CM15" s="245">
        <f t="shared" si="51"/>
        <v>0</v>
      </c>
      <c r="CN15" s="245">
        <f t="shared" si="52"/>
        <v>0</v>
      </c>
      <c r="CO15" s="247">
        <f t="shared" si="53"/>
        <v>0</v>
      </c>
      <c r="CP15" s="245">
        <f t="shared" si="54"/>
        <v>0</v>
      </c>
      <c r="CQ15" s="245">
        <f t="shared" si="55"/>
        <v>0</v>
      </c>
      <c r="CR15" s="247">
        <f t="shared" si="56"/>
        <v>0</v>
      </c>
      <c r="CS15" s="245">
        <f t="shared" si="57"/>
        <v>0</v>
      </c>
      <c r="CT15" s="245">
        <f t="shared" si="58"/>
        <v>0</v>
      </c>
      <c r="CU15" s="247">
        <f t="shared" si="59"/>
        <v>0</v>
      </c>
      <c r="CV15" s="245">
        <f t="shared" si="60"/>
        <v>0</v>
      </c>
      <c r="CW15" s="245">
        <f t="shared" si="61"/>
        <v>0</v>
      </c>
      <c r="CX15" s="247">
        <f t="shared" si="62"/>
        <v>0</v>
      </c>
    </row>
    <row r="16" spans="1:102" ht="13.5">
      <c r="A16" s="238" t="s">
        <v>202</v>
      </c>
      <c r="B16" s="239">
        <v>138349</v>
      </c>
      <c r="C16" s="240">
        <v>15372</v>
      </c>
      <c r="D16" s="240">
        <v>3860.66</v>
      </c>
      <c r="E16" s="240">
        <f t="shared" si="7"/>
        <v>103761</v>
      </c>
      <c r="F16" s="240">
        <f t="shared" si="63"/>
        <v>10894.69</v>
      </c>
      <c r="G16" s="240">
        <v>15372</v>
      </c>
      <c r="H16" s="241">
        <v>2939.91</v>
      </c>
      <c r="I16" s="240">
        <v>15372</v>
      </c>
      <c r="J16" s="241">
        <v>2478.75</v>
      </c>
      <c r="K16" s="240">
        <v>15372</v>
      </c>
      <c r="L16" s="240">
        <v>2017.59</v>
      </c>
      <c r="M16" s="240">
        <v>15372</v>
      </c>
      <c r="N16" s="241">
        <v>1556.43</v>
      </c>
      <c r="O16" s="240">
        <v>15372</v>
      </c>
      <c r="P16" s="240">
        <v>1095.27</v>
      </c>
      <c r="Q16" s="240">
        <v>15372</v>
      </c>
      <c r="R16" s="240">
        <v>634.11</v>
      </c>
      <c r="S16" s="240">
        <v>11529</v>
      </c>
      <c r="T16" s="241">
        <v>172.63</v>
      </c>
      <c r="U16" s="240"/>
      <c r="V16" s="241"/>
      <c r="W16" s="240"/>
      <c r="X16" s="240"/>
      <c r="Y16" s="242"/>
      <c r="Z16" s="241"/>
      <c r="AA16" s="240"/>
      <c r="AB16" s="243"/>
      <c r="AC16" s="240"/>
      <c r="AD16" s="243"/>
      <c r="AE16" s="240"/>
      <c r="AF16" s="243"/>
      <c r="AG16" s="240"/>
      <c r="AH16" s="243"/>
      <c r="AI16" s="240"/>
      <c r="AJ16" s="243"/>
      <c r="AK16" s="240"/>
      <c r="AL16" s="243"/>
      <c r="AM16" s="240"/>
      <c r="AN16" s="243"/>
      <c r="AO16" s="240"/>
      <c r="AP16" s="243"/>
      <c r="AQ16" s="240"/>
      <c r="AR16" s="243"/>
      <c r="AU16" s="244" t="str">
        <f t="shared" si="8"/>
        <v>WFOŚiGW 52/2008/76/OZ/po/P</v>
      </c>
      <c r="AV16" s="245">
        <f t="shared" si="8"/>
        <v>138349</v>
      </c>
      <c r="AW16" s="246">
        <f t="shared" si="9"/>
        <v>88389</v>
      </c>
      <c r="AX16" s="245">
        <f t="shared" si="10"/>
        <v>7954.7800000000007</v>
      </c>
      <c r="AY16" s="247">
        <f t="shared" si="11"/>
        <v>96343.78</v>
      </c>
      <c r="AZ16" s="246">
        <f t="shared" si="12"/>
        <v>73017</v>
      </c>
      <c r="BA16" s="245">
        <f t="shared" si="13"/>
        <v>5476.03</v>
      </c>
      <c r="BB16" s="247">
        <f t="shared" si="14"/>
        <v>78493.03</v>
      </c>
      <c r="BC16" s="246">
        <f t="shared" si="15"/>
        <v>57645</v>
      </c>
      <c r="BD16" s="245">
        <f t="shared" si="16"/>
        <v>3458.44</v>
      </c>
      <c r="BE16" s="247">
        <f t="shared" si="17"/>
        <v>61103.44</v>
      </c>
      <c r="BF16" s="246">
        <f t="shared" si="18"/>
        <v>42273</v>
      </c>
      <c r="BG16" s="245">
        <f t="shared" si="19"/>
        <v>1902.0100000000002</v>
      </c>
      <c r="BH16" s="247">
        <f t="shared" si="20"/>
        <v>44175.01</v>
      </c>
      <c r="BI16" s="246">
        <f t="shared" si="21"/>
        <v>26901</v>
      </c>
      <c r="BJ16" s="245">
        <f t="shared" si="22"/>
        <v>806.74</v>
      </c>
      <c r="BK16" s="247">
        <f t="shared" si="23"/>
        <v>27707.74</v>
      </c>
      <c r="BL16" s="246">
        <f t="shared" si="24"/>
        <v>11529</v>
      </c>
      <c r="BM16" s="245">
        <f t="shared" si="25"/>
        <v>172.63</v>
      </c>
      <c r="BN16" s="247">
        <f t="shared" si="26"/>
        <v>11701.63</v>
      </c>
      <c r="BO16" s="246">
        <f t="shared" si="27"/>
        <v>0</v>
      </c>
      <c r="BP16" s="245">
        <f t="shared" si="28"/>
        <v>0</v>
      </c>
      <c r="BQ16" s="247">
        <f t="shared" si="29"/>
        <v>0</v>
      </c>
      <c r="BR16" s="246">
        <f t="shared" si="30"/>
        <v>0</v>
      </c>
      <c r="BS16" s="245">
        <f t="shared" si="31"/>
        <v>0</v>
      </c>
      <c r="BT16" s="247">
        <f t="shared" si="32"/>
        <v>0</v>
      </c>
      <c r="BU16" s="246">
        <f t="shared" si="33"/>
        <v>0</v>
      </c>
      <c r="BV16" s="245">
        <f t="shared" si="34"/>
        <v>0</v>
      </c>
      <c r="BW16" s="247">
        <f t="shared" si="35"/>
        <v>0</v>
      </c>
      <c r="BX16" s="246">
        <f t="shared" si="36"/>
        <v>0</v>
      </c>
      <c r="BY16" s="245">
        <f t="shared" si="37"/>
        <v>0</v>
      </c>
      <c r="BZ16" s="247">
        <f t="shared" si="38"/>
        <v>0</v>
      </c>
      <c r="CA16" s="245">
        <f t="shared" si="39"/>
        <v>0</v>
      </c>
      <c r="CB16" s="245">
        <f t="shared" si="40"/>
        <v>0</v>
      </c>
      <c r="CC16" s="247">
        <f t="shared" si="41"/>
        <v>0</v>
      </c>
      <c r="CD16" s="245">
        <f t="shared" si="42"/>
        <v>0</v>
      </c>
      <c r="CE16" s="245">
        <f t="shared" si="43"/>
        <v>0</v>
      </c>
      <c r="CF16" s="247">
        <f t="shared" si="44"/>
        <v>0</v>
      </c>
      <c r="CG16" s="245">
        <f t="shared" si="45"/>
        <v>0</v>
      </c>
      <c r="CH16" s="245">
        <f t="shared" si="46"/>
        <v>0</v>
      </c>
      <c r="CI16" s="247">
        <f t="shared" si="47"/>
        <v>0</v>
      </c>
      <c r="CJ16" s="245">
        <f t="shared" si="48"/>
        <v>0</v>
      </c>
      <c r="CK16" s="245">
        <f t="shared" si="49"/>
        <v>0</v>
      </c>
      <c r="CL16" s="247">
        <f t="shared" si="50"/>
        <v>0</v>
      </c>
      <c r="CM16" s="245">
        <f t="shared" si="51"/>
        <v>0</v>
      </c>
      <c r="CN16" s="245">
        <f t="shared" si="52"/>
        <v>0</v>
      </c>
      <c r="CO16" s="247">
        <f t="shared" si="53"/>
        <v>0</v>
      </c>
      <c r="CP16" s="245">
        <f t="shared" si="54"/>
        <v>0</v>
      </c>
      <c r="CQ16" s="245">
        <f t="shared" si="55"/>
        <v>0</v>
      </c>
      <c r="CR16" s="247">
        <f t="shared" si="56"/>
        <v>0</v>
      </c>
      <c r="CS16" s="245">
        <f t="shared" si="57"/>
        <v>0</v>
      </c>
      <c r="CT16" s="245">
        <f t="shared" si="58"/>
        <v>0</v>
      </c>
      <c r="CU16" s="247">
        <f t="shared" si="59"/>
        <v>0</v>
      </c>
      <c r="CV16" s="245">
        <f t="shared" si="60"/>
        <v>0</v>
      </c>
      <c r="CW16" s="245">
        <f t="shared" si="61"/>
        <v>0</v>
      </c>
      <c r="CX16" s="247">
        <f t="shared" si="62"/>
        <v>0</v>
      </c>
    </row>
    <row r="17" spans="1:102" ht="13.5">
      <c r="A17" s="238" t="s">
        <v>204</v>
      </c>
      <c r="B17" s="239">
        <v>499709</v>
      </c>
      <c r="C17" s="240">
        <v>47500</v>
      </c>
      <c r="D17" s="240">
        <v>12236.21</v>
      </c>
      <c r="E17" s="240">
        <f t="shared" si="7"/>
        <v>332500</v>
      </c>
      <c r="F17" s="240">
        <f t="shared" si="63"/>
        <v>35847.75</v>
      </c>
      <c r="G17" s="240">
        <v>47500</v>
      </c>
      <c r="H17" s="241">
        <v>9396.11</v>
      </c>
      <c r="I17" s="240">
        <v>47500</v>
      </c>
      <c r="J17" s="240">
        <v>7971.11</v>
      </c>
      <c r="K17" s="240">
        <v>47500</v>
      </c>
      <c r="L17" s="240">
        <v>6546.1</v>
      </c>
      <c r="M17" s="240">
        <v>47500</v>
      </c>
      <c r="N17" s="241">
        <v>5121.12</v>
      </c>
      <c r="O17" s="240">
        <v>47500</v>
      </c>
      <c r="P17" s="240">
        <v>3696.1</v>
      </c>
      <c r="Q17" s="240">
        <v>47500</v>
      </c>
      <c r="R17" s="240">
        <v>2271.1</v>
      </c>
      <c r="S17" s="240">
        <v>47500</v>
      </c>
      <c r="T17" s="241">
        <v>846.11</v>
      </c>
      <c r="U17" s="240"/>
      <c r="V17" s="241"/>
      <c r="W17" s="240"/>
      <c r="X17" s="240"/>
      <c r="Y17" s="242"/>
      <c r="Z17" s="241"/>
      <c r="AA17" s="240"/>
      <c r="AB17" s="243"/>
      <c r="AC17" s="240"/>
      <c r="AD17" s="243"/>
      <c r="AE17" s="240"/>
      <c r="AF17" s="243"/>
      <c r="AG17" s="240"/>
      <c r="AH17" s="243"/>
      <c r="AI17" s="240"/>
      <c r="AJ17" s="243"/>
      <c r="AK17" s="240"/>
      <c r="AL17" s="243"/>
      <c r="AM17" s="240"/>
      <c r="AN17" s="243"/>
      <c r="AO17" s="240"/>
      <c r="AP17" s="243"/>
      <c r="AQ17" s="240"/>
      <c r="AR17" s="243"/>
      <c r="AU17" s="244" t="str">
        <f t="shared" si="8"/>
        <v>WFOŚiGW 57/2007/76/OA/oe/P</v>
      </c>
      <c r="AV17" s="245">
        <f t="shared" si="8"/>
        <v>499709</v>
      </c>
      <c r="AW17" s="246">
        <f t="shared" si="9"/>
        <v>285000</v>
      </c>
      <c r="AX17" s="245">
        <f t="shared" si="10"/>
        <v>26451.639999999996</v>
      </c>
      <c r="AY17" s="247">
        <f t="shared" si="11"/>
        <v>311451.64</v>
      </c>
      <c r="AZ17" s="246">
        <f t="shared" si="12"/>
        <v>237500</v>
      </c>
      <c r="BA17" s="245">
        <f t="shared" si="13"/>
        <v>18480.530000000002</v>
      </c>
      <c r="BB17" s="247">
        <f t="shared" si="14"/>
        <v>255980.53</v>
      </c>
      <c r="BC17" s="246">
        <f t="shared" si="15"/>
        <v>190000</v>
      </c>
      <c r="BD17" s="245">
        <f t="shared" si="16"/>
        <v>11934.43</v>
      </c>
      <c r="BE17" s="247">
        <f t="shared" si="17"/>
        <v>201934.43</v>
      </c>
      <c r="BF17" s="246">
        <f t="shared" si="18"/>
        <v>142500</v>
      </c>
      <c r="BG17" s="245">
        <f t="shared" si="19"/>
        <v>6813.3099999999995</v>
      </c>
      <c r="BH17" s="247">
        <f t="shared" si="20"/>
        <v>149313.31</v>
      </c>
      <c r="BI17" s="246">
        <f t="shared" si="21"/>
        <v>95000</v>
      </c>
      <c r="BJ17" s="245">
        <f t="shared" si="22"/>
        <v>3117.21</v>
      </c>
      <c r="BK17" s="247">
        <f t="shared" si="23"/>
        <v>98117.21</v>
      </c>
      <c r="BL17" s="246">
        <f t="shared" si="24"/>
        <v>47500</v>
      </c>
      <c r="BM17" s="245">
        <f t="shared" si="25"/>
        <v>846.11</v>
      </c>
      <c r="BN17" s="247">
        <f t="shared" si="26"/>
        <v>48346.11</v>
      </c>
      <c r="BO17" s="246">
        <f t="shared" si="27"/>
        <v>0</v>
      </c>
      <c r="BP17" s="245">
        <f t="shared" si="28"/>
        <v>0</v>
      </c>
      <c r="BQ17" s="247">
        <f t="shared" si="29"/>
        <v>0</v>
      </c>
      <c r="BR17" s="246">
        <f t="shared" si="30"/>
        <v>0</v>
      </c>
      <c r="BS17" s="245">
        <f t="shared" si="31"/>
        <v>0</v>
      </c>
      <c r="BT17" s="247">
        <f t="shared" si="32"/>
        <v>0</v>
      </c>
      <c r="BU17" s="246">
        <f t="shared" si="33"/>
        <v>0</v>
      </c>
      <c r="BV17" s="245">
        <f t="shared" si="34"/>
        <v>0</v>
      </c>
      <c r="BW17" s="247">
        <f t="shared" si="35"/>
        <v>0</v>
      </c>
      <c r="BX17" s="246">
        <f t="shared" si="36"/>
        <v>0</v>
      </c>
      <c r="BY17" s="245">
        <f t="shared" si="37"/>
        <v>0</v>
      </c>
      <c r="BZ17" s="247">
        <f t="shared" si="38"/>
        <v>0</v>
      </c>
      <c r="CA17" s="245">
        <f t="shared" si="39"/>
        <v>0</v>
      </c>
      <c r="CB17" s="245">
        <f t="shared" si="40"/>
        <v>0</v>
      </c>
      <c r="CC17" s="247">
        <f t="shared" si="41"/>
        <v>0</v>
      </c>
      <c r="CD17" s="245">
        <f t="shared" si="42"/>
        <v>0</v>
      </c>
      <c r="CE17" s="245">
        <f t="shared" si="43"/>
        <v>0</v>
      </c>
      <c r="CF17" s="247">
        <f t="shared" si="44"/>
        <v>0</v>
      </c>
      <c r="CG17" s="245">
        <f t="shared" si="45"/>
        <v>0</v>
      </c>
      <c r="CH17" s="245">
        <f t="shared" si="46"/>
        <v>0</v>
      </c>
      <c r="CI17" s="247">
        <f t="shared" si="47"/>
        <v>0</v>
      </c>
      <c r="CJ17" s="245">
        <f t="shared" si="48"/>
        <v>0</v>
      </c>
      <c r="CK17" s="245">
        <f t="shared" si="49"/>
        <v>0</v>
      </c>
      <c r="CL17" s="247">
        <f t="shared" si="50"/>
        <v>0</v>
      </c>
      <c r="CM17" s="245">
        <f t="shared" si="51"/>
        <v>0</v>
      </c>
      <c r="CN17" s="245">
        <f t="shared" si="52"/>
        <v>0</v>
      </c>
      <c r="CO17" s="247">
        <f t="shared" si="53"/>
        <v>0</v>
      </c>
      <c r="CP17" s="245">
        <f t="shared" si="54"/>
        <v>0</v>
      </c>
      <c r="CQ17" s="245">
        <f t="shared" si="55"/>
        <v>0</v>
      </c>
      <c r="CR17" s="247">
        <f t="shared" si="56"/>
        <v>0</v>
      </c>
      <c r="CS17" s="245">
        <f t="shared" si="57"/>
        <v>0</v>
      </c>
      <c r="CT17" s="245">
        <f t="shared" si="58"/>
        <v>0</v>
      </c>
      <c r="CU17" s="247">
        <f t="shared" si="59"/>
        <v>0</v>
      </c>
      <c r="CV17" s="245">
        <f t="shared" si="60"/>
        <v>0</v>
      </c>
      <c r="CW17" s="245">
        <f t="shared" si="61"/>
        <v>0</v>
      </c>
      <c r="CX17" s="247">
        <f t="shared" si="62"/>
        <v>0</v>
      </c>
    </row>
    <row r="18" spans="1:102" ht="13.5">
      <c r="A18" s="248" t="s">
        <v>206</v>
      </c>
      <c r="B18" s="249">
        <f>384567-76900</f>
        <v>307667</v>
      </c>
      <c r="C18" s="250">
        <v>38000</v>
      </c>
      <c r="D18" s="250">
        <v>833.8</v>
      </c>
      <c r="E18" s="240">
        <f t="shared" si="7"/>
        <v>38000</v>
      </c>
      <c r="F18" s="240">
        <f t="shared" si="63"/>
        <v>93.09</v>
      </c>
      <c r="G18" s="250">
        <v>38000</v>
      </c>
      <c r="H18" s="251">
        <v>93.09</v>
      </c>
      <c r="I18" s="240"/>
      <c r="J18" s="240"/>
      <c r="K18" s="240"/>
      <c r="L18" s="240"/>
      <c r="M18" s="241"/>
      <c r="N18" s="241"/>
      <c r="O18" s="240"/>
      <c r="P18" s="240"/>
      <c r="Q18" s="240"/>
      <c r="R18" s="240"/>
      <c r="S18" s="240"/>
      <c r="T18" s="241"/>
      <c r="U18" s="240"/>
      <c r="V18" s="241"/>
      <c r="W18" s="240"/>
      <c r="X18" s="240"/>
      <c r="Y18" s="242"/>
      <c r="Z18" s="241"/>
      <c r="AA18" s="240"/>
      <c r="AB18" s="243"/>
      <c r="AC18" s="240"/>
      <c r="AD18" s="243"/>
      <c r="AE18" s="240"/>
      <c r="AF18" s="243"/>
      <c r="AG18" s="240"/>
      <c r="AH18" s="243"/>
      <c r="AI18" s="240"/>
      <c r="AJ18" s="243"/>
      <c r="AK18" s="240"/>
      <c r="AL18" s="243"/>
      <c r="AM18" s="240"/>
      <c r="AN18" s="243"/>
      <c r="AO18" s="240"/>
      <c r="AP18" s="243"/>
      <c r="AQ18" s="240"/>
      <c r="AR18" s="243"/>
      <c r="AU18" s="244" t="str">
        <f t="shared" si="8"/>
        <v>WFOŚiGW 174/2003/76/OA/no/P</v>
      </c>
      <c r="AV18" s="245">
        <f t="shared" si="8"/>
        <v>307667</v>
      </c>
      <c r="AW18" s="246">
        <f t="shared" si="9"/>
        <v>0</v>
      </c>
      <c r="AX18" s="245">
        <f t="shared" si="10"/>
        <v>0</v>
      </c>
      <c r="AY18" s="247">
        <f t="shared" si="11"/>
        <v>0</v>
      </c>
      <c r="AZ18" s="246">
        <f t="shared" si="12"/>
        <v>0</v>
      </c>
      <c r="BA18" s="245">
        <f t="shared" si="13"/>
        <v>0</v>
      </c>
      <c r="BB18" s="247">
        <f t="shared" si="14"/>
        <v>0</v>
      </c>
      <c r="BC18" s="246">
        <f t="shared" si="15"/>
        <v>0</v>
      </c>
      <c r="BD18" s="245">
        <f t="shared" si="16"/>
        <v>0</v>
      </c>
      <c r="BE18" s="247">
        <f t="shared" si="17"/>
        <v>0</v>
      </c>
      <c r="BF18" s="246">
        <f t="shared" si="18"/>
        <v>0</v>
      </c>
      <c r="BG18" s="245">
        <f t="shared" si="19"/>
        <v>0</v>
      </c>
      <c r="BH18" s="247">
        <f t="shared" si="20"/>
        <v>0</v>
      </c>
      <c r="BI18" s="246">
        <f t="shared" si="21"/>
        <v>0</v>
      </c>
      <c r="BJ18" s="245">
        <f t="shared" si="22"/>
        <v>0</v>
      </c>
      <c r="BK18" s="247">
        <f t="shared" si="23"/>
        <v>0</v>
      </c>
      <c r="BL18" s="246">
        <f t="shared" si="24"/>
        <v>0</v>
      </c>
      <c r="BM18" s="245">
        <f t="shared" si="25"/>
        <v>0</v>
      </c>
      <c r="BN18" s="247">
        <f t="shared" si="26"/>
        <v>0</v>
      </c>
      <c r="BO18" s="246">
        <f t="shared" si="27"/>
        <v>0</v>
      </c>
      <c r="BP18" s="245">
        <f t="shared" si="28"/>
        <v>0</v>
      </c>
      <c r="BQ18" s="247">
        <f t="shared" si="29"/>
        <v>0</v>
      </c>
      <c r="BR18" s="246">
        <f t="shared" si="30"/>
        <v>0</v>
      </c>
      <c r="BS18" s="245">
        <f t="shared" si="31"/>
        <v>0</v>
      </c>
      <c r="BT18" s="247">
        <f t="shared" si="32"/>
        <v>0</v>
      </c>
      <c r="BU18" s="246">
        <f t="shared" si="33"/>
        <v>0</v>
      </c>
      <c r="BV18" s="245">
        <f t="shared" si="34"/>
        <v>0</v>
      </c>
      <c r="BW18" s="247">
        <f t="shared" si="35"/>
        <v>0</v>
      </c>
      <c r="BX18" s="246">
        <f t="shared" si="36"/>
        <v>0</v>
      </c>
      <c r="BY18" s="245">
        <f t="shared" si="37"/>
        <v>0</v>
      </c>
      <c r="BZ18" s="247">
        <f t="shared" si="38"/>
        <v>0</v>
      </c>
      <c r="CA18" s="245">
        <f t="shared" si="39"/>
        <v>0</v>
      </c>
      <c r="CB18" s="245">
        <f t="shared" si="40"/>
        <v>0</v>
      </c>
      <c r="CC18" s="247">
        <f t="shared" si="41"/>
        <v>0</v>
      </c>
      <c r="CD18" s="245">
        <f t="shared" si="42"/>
        <v>0</v>
      </c>
      <c r="CE18" s="245">
        <f t="shared" si="43"/>
        <v>0</v>
      </c>
      <c r="CF18" s="247">
        <f t="shared" si="44"/>
        <v>0</v>
      </c>
      <c r="CG18" s="245">
        <f t="shared" si="45"/>
        <v>0</v>
      </c>
      <c r="CH18" s="245">
        <f t="shared" si="46"/>
        <v>0</v>
      </c>
      <c r="CI18" s="247">
        <f t="shared" si="47"/>
        <v>0</v>
      </c>
      <c r="CJ18" s="245">
        <f t="shared" si="48"/>
        <v>0</v>
      </c>
      <c r="CK18" s="245">
        <f t="shared" si="49"/>
        <v>0</v>
      </c>
      <c r="CL18" s="247">
        <f t="shared" si="50"/>
        <v>0</v>
      </c>
      <c r="CM18" s="245">
        <f t="shared" si="51"/>
        <v>0</v>
      </c>
      <c r="CN18" s="245">
        <f t="shared" si="52"/>
        <v>0</v>
      </c>
      <c r="CO18" s="247">
        <f t="shared" si="53"/>
        <v>0</v>
      </c>
      <c r="CP18" s="245">
        <f t="shared" si="54"/>
        <v>0</v>
      </c>
      <c r="CQ18" s="245">
        <f t="shared" si="55"/>
        <v>0</v>
      </c>
      <c r="CR18" s="247">
        <f t="shared" si="56"/>
        <v>0</v>
      </c>
      <c r="CS18" s="245">
        <f t="shared" si="57"/>
        <v>0</v>
      </c>
      <c r="CT18" s="245">
        <f t="shared" si="58"/>
        <v>0</v>
      </c>
      <c r="CU18" s="247">
        <f t="shared" si="59"/>
        <v>0</v>
      </c>
      <c r="CV18" s="245">
        <f t="shared" si="60"/>
        <v>0</v>
      </c>
      <c r="CW18" s="245">
        <f t="shared" si="61"/>
        <v>0</v>
      </c>
      <c r="CX18" s="247">
        <f t="shared" si="62"/>
        <v>0</v>
      </c>
    </row>
    <row r="19" spans="1:102" ht="13.5">
      <c r="A19" s="248" t="s">
        <v>208</v>
      </c>
      <c r="B19" s="249">
        <v>366174</v>
      </c>
      <c r="C19" s="250">
        <v>37000</v>
      </c>
      <c r="D19" s="250">
        <v>10239.11</v>
      </c>
      <c r="E19" s="240">
        <f t="shared" si="7"/>
        <v>292174</v>
      </c>
      <c r="F19" s="240">
        <f t="shared" si="63"/>
        <v>32212.739999999998</v>
      </c>
      <c r="G19" s="250">
        <v>37000</v>
      </c>
      <c r="H19" s="251">
        <v>8025.28</v>
      </c>
      <c r="I19" s="250">
        <v>37000</v>
      </c>
      <c r="J19" s="240">
        <v>6915.28</v>
      </c>
      <c r="K19" s="250">
        <v>35087</v>
      </c>
      <c r="L19" s="240">
        <v>5829.18</v>
      </c>
      <c r="M19" s="250">
        <v>40686</v>
      </c>
      <c r="N19" s="241">
        <v>4678.88</v>
      </c>
      <c r="O19" s="240">
        <v>40686</v>
      </c>
      <c r="P19" s="240">
        <v>3458.35</v>
      </c>
      <c r="Q19" s="240">
        <v>40686</v>
      </c>
      <c r="R19" s="240">
        <v>2237.7199999999998</v>
      </c>
      <c r="S19" s="240">
        <v>40686</v>
      </c>
      <c r="T19" s="241">
        <v>1017.19</v>
      </c>
      <c r="U19" s="240">
        <v>20343</v>
      </c>
      <c r="V19" s="241">
        <v>50.86</v>
      </c>
      <c r="W19" s="240"/>
      <c r="X19" s="240"/>
      <c r="Y19" s="242"/>
      <c r="Z19" s="241"/>
      <c r="AA19" s="240"/>
      <c r="AB19" s="243"/>
      <c r="AC19" s="240"/>
      <c r="AD19" s="243"/>
      <c r="AE19" s="240"/>
      <c r="AF19" s="243"/>
      <c r="AG19" s="240"/>
      <c r="AH19" s="243"/>
      <c r="AI19" s="240"/>
      <c r="AJ19" s="243"/>
      <c r="AK19" s="240"/>
      <c r="AL19" s="243"/>
      <c r="AM19" s="240"/>
      <c r="AN19" s="243"/>
      <c r="AO19" s="240"/>
      <c r="AP19" s="243"/>
      <c r="AQ19" s="240"/>
      <c r="AR19" s="243"/>
      <c r="AU19" s="244" t="str">
        <f t="shared" si="8"/>
        <v>WFOŚiGW 194/2008/76/OA/no/P</v>
      </c>
      <c r="AV19" s="245">
        <f t="shared" si="8"/>
        <v>366174</v>
      </c>
      <c r="AW19" s="246">
        <f t="shared" si="9"/>
        <v>255174</v>
      </c>
      <c r="AX19" s="245">
        <f t="shared" si="10"/>
        <v>24187.46</v>
      </c>
      <c r="AY19" s="247">
        <f t="shared" si="11"/>
        <v>279361.46000000002</v>
      </c>
      <c r="AZ19" s="246">
        <f t="shared" si="12"/>
        <v>218174</v>
      </c>
      <c r="BA19" s="245">
        <f t="shared" si="13"/>
        <v>17272.18</v>
      </c>
      <c r="BB19" s="247">
        <f t="shared" si="14"/>
        <v>235446.18</v>
      </c>
      <c r="BC19" s="246">
        <f t="shared" si="15"/>
        <v>183087</v>
      </c>
      <c r="BD19" s="245">
        <f t="shared" si="16"/>
        <v>11443</v>
      </c>
      <c r="BE19" s="247">
        <f t="shared" si="17"/>
        <v>194530</v>
      </c>
      <c r="BF19" s="246">
        <f t="shared" si="18"/>
        <v>142401</v>
      </c>
      <c r="BG19" s="245">
        <f t="shared" si="19"/>
        <v>6764.12</v>
      </c>
      <c r="BH19" s="247">
        <f t="shared" si="20"/>
        <v>149165.12</v>
      </c>
      <c r="BI19" s="246">
        <f t="shared" si="21"/>
        <v>101715</v>
      </c>
      <c r="BJ19" s="245">
        <f t="shared" si="22"/>
        <v>3305.77</v>
      </c>
      <c r="BK19" s="247">
        <f t="shared" si="23"/>
        <v>105020.77</v>
      </c>
      <c r="BL19" s="246">
        <f t="shared" si="24"/>
        <v>61029</v>
      </c>
      <c r="BM19" s="245">
        <f t="shared" si="25"/>
        <v>1068.05</v>
      </c>
      <c r="BN19" s="247">
        <f t="shared" si="26"/>
        <v>62097.05</v>
      </c>
      <c r="BO19" s="246">
        <f t="shared" si="27"/>
        <v>20343</v>
      </c>
      <c r="BP19" s="245">
        <f t="shared" si="28"/>
        <v>50.86</v>
      </c>
      <c r="BQ19" s="247">
        <f t="shared" si="29"/>
        <v>20393.86</v>
      </c>
      <c r="BR19" s="246">
        <f t="shared" si="30"/>
        <v>0</v>
      </c>
      <c r="BS19" s="245">
        <f t="shared" si="31"/>
        <v>0</v>
      </c>
      <c r="BT19" s="247">
        <f t="shared" si="32"/>
        <v>0</v>
      </c>
      <c r="BU19" s="246">
        <f t="shared" si="33"/>
        <v>0</v>
      </c>
      <c r="BV19" s="245">
        <f t="shared" si="34"/>
        <v>0</v>
      </c>
      <c r="BW19" s="247">
        <f t="shared" si="35"/>
        <v>0</v>
      </c>
      <c r="BX19" s="246">
        <f t="shared" si="36"/>
        <v>0</v>
      </c>
      <c r="BY19" s="245">
        <f t="shared" si="37"/>
        <v>0</v>
      </c>
      <c r="BZ19" s="247">
        <f t="shared" si="38"/>
        <v>0</v>
      </c>
      <c r="CA19" s="245">
        <f t="shared" si="39"/>
        <v>0</v>
      </c>
      <c r="CB19" s="245">
        <f t="shared" si="40"/>
        <v>0</v>
      </c>
      <c r="CC19" s="247">
        <f t="shared" si="41"/>
        <v>0</v>
      </c>
      <c r="CD19" s="245">
        <f t="shared" si="42"/>
        <v>0</v>
      </c>
      <c r="CE19" s="245">
        <f t="shared" si="43"/>
        <v>0</v>
      </c>
      <c r="CF19" s="247">
        <f t="shared" si="44"/>
        <v>0</v>
      </c>
      <c r="CG19" s="245">
        <f t="shared" si="45"/>
        <v>0</v>
      </c>
      <c r="CH19" s="245">
        <f t="shared" si="46"/>
        <v>0</v>
      </c>
      <c r="CI19" s="247">
        <f t="shared" si="47"/>
        <v>0</v>
      </c>
      <c r="CJ19" s="245">
        <f t="shared" si="48"/>
        <v>0</v>
      </c>
      <c r="CK19" s="245">
        <f t="shared" si="49"/>
        <v>0</v>
      </c>
      <c r="CL19" s="247">
        <f t="shared" si="50"/>
        <v>0</v>
      </c>
      <c r="CM19" s="245">
        <f t="shared" si="51"/>
        <v>0</v>
      </c>
      <c r="CN19" s="245">
        <f t="shared" si="52"/>
        <v>0</v>
      </c>
      <c r="CO19" s="247">
        <f t="shared" si="53"/>
        <v>0</v>
      </c>
      <c r="CP19" s="245">
        <f t="shared" si="54"/>
        <v>0</v>
      </c>
      <c r="CQ19" s="245">
        <f t="shared" si="55"/>
        <v>0</v>
      </c>
      <c r="CR19" s="247">
        <f t="shared" si="56"/>
        <v>0</v>
      </c>
      <c r="CS19" s="245">
        <f t="shared" si="57"/>
        <v>0</v>
      </c>
      <c r="CT19" s="245">
        <f t="shared" si="58"/>
        <v>0</v>
      </c>
      <c r="CU19" s="247">
        <f t="shared" si="59"/>
        <v>0</v>
      </c>
      <c r="CV19" s="245">
        <f t="shared" si="60"/>
        <v>0</v>
      </c>
      <c r="CW19" s="245">
        <f t="shared" si="61"/>
        <v>0</v>
      </c>
      <c r="CX19" s="247">
        <f t="shared" si="62"/>
        <v>0</v>
      </c>
    </row>
    <row r="20" spans="1:102" ht="13.5">
      <c r="A20" s="248" t="s">
        <v>210</v>
      </c>
      <c r="B20" s="249">
        <v>562761</v>
      </c>
      <c r="C20" s="250">
        <v>62532</v>
      </c>
      <c r="D20" s="250">
        <v>10994.41</v>
      </c>
      <c r="E20" s="240">
        <f t="shared" si="7"/>
        <v>265734</v>
      </c>
      <c r="F20" s="240">
        <f t="shared" si="63"/>
        <v>17876.870000000003</v>
      </c>
      <c r="G20" s="250">
        <v>62532</v>
      </c>
      <c r="H20" s="251">
        <v>7249</v>
      </c>
      <c r="I20" s="250">
        <v>62532</v>
      </c>
      <c r="J20" s="240">
        <v>5373.05</v>
      </c>
      <c r="K20" s="250">
        <v>62532</v>
      </c>
      <c r="L20" s="240">
        <v>3516.63</v>
      </c>
      <c r="M20" s="250">
        <v>62532</v>
      </c>
      <c r="N20" s="241">
        <v>1621.13</v>
      </c>
      <c r="O20" s="240">
        <v>15606</v>
      </c>
      <c r="P20" s="240">
        <v>117.06</v>
      </c>
      <c r="Q20" s="240"/>
      <c r="R20" s="240"/>
      <c r="S20" s="240"/>
      <c r="T20" s="241"/>
      <c r="U20" s="240"/>
      <c r="V20" s="241"/>
      <c r="W20" s="240"/>
      <c r="X20" s="240"/>
      <c r="Y20" s="242"/>
      <c r="Z20" s="241"/>
      <c r="AA20" s="240"/>
      <c r="AB20" s="243"/>
      <c r="AC20" s="240"/>
      <c r="AD20" s="243"/>
      <c r="AE20" s="240"/>
      <c r="AF20" s="243"/>
      <c r="AG20" s="240"/>
      <c r="AH20" s="243"/>
      <c r="AI20" s="240"/>
      <c r="AJ20" s="243"/>
      <c r="AK20" s="240"/>
      <c r="AL20" s="243"/>
      <c r="AM20" s="240"/>
      <c r="AN20" s="243"/>
      <c r="AO20" s="240"/>
      <c r="AP20" s="243"/>
      <c r="AQ20" s="240"/>
      <c r="AR20" s="243"/>
      <c r="AU20" s="244" t="str">
        <f t="shared" si="8"/>
        <v>WFOŚiGW 260/2005/76/OA/oe/P</v>
      </c>
      <c r="AV20" s="245">
        <f t="shared" si="8"/>
        <v>562761</v>
      </c>
      <c r="AW20" s="246">
        <f t="shared" si="9"/>
        <v>203202</v>
      </c>
      <c r="AX20" s="245">
        <f t="shared" si="10"/>
        <v>10627.87</v>
      </c>
      <c r="AY20" s="247">
        <f t="shared" si="11"/>
        <v>213829.87</v>
      </c>
      <c r="AZ20" s="246">
        <f t="shared" si="12"/>
        <v>140670</v>
      </c>
      <c r="BA20" s="245">
        <f t="shared" si="13"/>
        <v>5254.8200000000006</v>
      </c>
      <c r="BB20" s="247">
        <f t="shared" si="14"/>
        <v>145924.82</v>
      </c>
      <c r="BC20" s="246">
        <f t="shared" si="15"/>
        <v>78138</v>
      </c>
      <c r="BD20" s="245">
        <f t="shared" si="16"/>
        <v>1738.19</v>
      </c>
      <c r="BE20" s="247">
        <f t="shared" si="17"/>
        <v>79876.19</v>
      </c>
      <c r="BF20" s="246">
        <f t="shared" si="18"/>
        <v>15606</v>
      </c>
      <c r="BG20" s="245">
        <f t="shared" si="19"/>
        <v>117.06</v>
      </c>
      <c r="BH20" s="247">
        <f t="shared" si="20"/>
        <v>15723.06</v>
      </c>
      <c r="BI20" s="246">
        <f t="shared" si="21"/>
        <v>0</v>
      </c>
      <c r="BJ20" s="245">
        <f t="shared" si="22"/>
        <v>0</v>
      </c>
      <c r="BK20" s="247">
        <f t="shared" si="23"/>
        <v>0</v>
      </c>
      <c r="BL20" s="246">
        <f t="shared" si="24"/>
        <v>0</v>
      </c>
      <c r="BM20" s="245">
        <f t="shared" si="25"/>
        <v>0</v>
      </c>
      <c r="BN20" s="247">
        <f t="shared" si="26"/>
        <v>0</v>
      </c>
      <c r="BO20" s="246">
        <f t="shared" si="27"/>
        <v>0</v>
      </c>
      <c r="BP20" s="245">
        <f t="shared" si="28"/>
        <v>0</v>
      </c>
      <c r="BQ20" s="247">
        <f t="shared" si="29"/>
        <v>0</v>
      </c>
      <c r="BR20" s="246">
        <f t="shared" si="30"/>
        <v>0</v>
      </c>
      <c r="BS20" s="245">
        <f t="shared" si="31"/>
        <v>0</v>
      </c>
      <c r="BT20" s="247">
        <f t="shared" si="32"/>
        <v>0</v>
      </c>
      <c r="BU20" s="246">
        <f t="shared" si="33"/>
        <v>0</v>
      </c>
      <c r="BV20" s="245">
        <f t="shared" si="34"/>
        <v>0</v>
      </c>
      <c r="BW20" s="247">
        <f t="shared" si="35"/>
        <v>0</v>
      </c>
      <c r="BX20" s="246">
        <f t="shared" si="36"/>
        <v>0</v>
      </c>
      <c r="BY20" s="245">
        <f t="shared" si="37"/>
        <v>0</v>
      </c>
      <c r="BZ20" s="247">
        <f t="shared" si="38"/>
        <v>0</v>
      </c>
      <c r="CA20" s="245">
        <f t="shared" si="39"/>
        <v>0</v>
      </c>
      <c r="CB20" s="245">
        <f t="shared" si="40"/>
        <v>0</v>
      </c>
      <c r="CC20" s="247">
        <f t="shared" si="41"/>
        <v>0</v>
      </c>
      <c r="CD20" s="245">
        <f t="shared" si="42"/>
        <v>0</v>
      </c>
      <c r="CE20" s="245">
        <f t="shared" si="43"/>
        <v>0</v>
      </c>
      <c r="CF20" s="247">
        <f t="shared" si="44"/>
        <v>0</v>
      </c>
      <c r="CG20" s="245">
        <f t="shared" si="45"/>
        <v>0</v>
      </c>
      <c r="CH20" s="245">
        <f t="shared" si="46"/>
        <v>0</v>
      </c>
      <c r="CI20" s="247">
        <f t="shared" si="47"/>
        <v>0</v>
      </c>
      <c r="CJ20" s="245">
        <f t="shared" si="48"/>
        <v>0</v>
      </c>
      <c r="CK20" s="245">
        <f t="shared" si="49"/>
        <v>0</v>
      </c>
      <c r="CL20" s="247">
        <f t="shared" si="50"/>
        <v>0</v>
      </c>
      <c r="CM20" s="245">
        <f t="shared" si="51"/>
        <v>0</v>
      </c>
      <c r="CN20" s="245">
        <f t="shared" si="52"/>
        <v>0</v>
      </c>
      <c r="CO20" s="247">
        <f t="shared" si="53"/>
        <v>0</v>
      </c>
      <c r="CP20" s="245">
        <f t="shared" si="54"/>
        <v>0</v>
      </c>
      <c r="CQ20" s="245">
        <f t="shared" si="55"/>
        <v>0</v>
      </c>
      <c r="CR20" s="247">
        <f t="shared" si="56"/>
        <v>0</v>
      </c>
      <c r="CS20" s="245">
        <f t="shared" si="57"/>
        <v>0</v>
      </c>
      <c r="CT20" s="245">
        <f t="shared" si="58"/>
        <v>0</v>
      </c>
      <c r="CU20" s="247">
        <f t="shared" si="59"/>
        <v>0</v>
      </c>
      <c r="CV20" s="245">
        <f t="shared" si="60"/>
        <v>0</v>
      </c>
      <c r="CW20" s="245">
        <f t="shared" si="61"/>
        <v>0</v>
      </c>
      <c r="CX20" s="247">
        <f t="shared" si="62"/>
        <v>0</v>
      </c>
    </row>
    <row r="21" spans="1:102" ht="13.5">
      <c r="A21" s="238" t="s">
        <v>212</v>
      </c>
      <c r="B21" s="239">
        <f>1667886-750548</f>
        <v>917338</v>
      </c>
      <c r="C21" s="240">
        <v>162720</v>
      </c>
      <c r="D21" s="240">
        <v>18197.599999999999</v>
      </c>
      <c r="E21" s="240">
        <f t="shared" si="7"/>
        <v>347817.3</v>
      </c>
      <c r="F21" s="240">
        <f t="shared" si="63"/>
        <v>12204.22</v>
      </c>
      <c r="G21" s="240">
        <v>162720</v>
      </c>
      <c r="H21" s="241">
        <v>8468.32</v>
      </c>
      <c r="I21" s="240">
        <v>162720</v>
      </c>
      <c r="J21" s="240">
        <v>3586.72</v>
      </c>
      <c r="K21" s="240">
        <v>22377.3</v>
      </c>
      <c r="L21" s="240">
        <v>149.18</v>
      </c>
      <c r="M21" s="241"/>
      <c r="N21" s="241"/>
      <c r="O21" s="240"/>
      <c r="P21" s="240"/>
      <c r="Q21" s="240"/>
      <c r="R21" s="240"/>
      <c r="S21" s="240"/>
      <c r="T21" s="241"/>
      <c r="U21" s="240"/>
      <c r="V21" s="241"/>
      <c r="W21" s="240"/>
      <c r="X21" s="240"/>
      <c r="Y21" s="242"/>
      <c r="Z21" s="241"/>
      <c r="AA21" s="240"/>
      <c r="AB21" s="243"/>
      <c r="AC21" s="240"/>
      <c r="AD21" s="243"/>
      <c r="AE21" s="240"/>
      <c r="AF21" s="243"/>
      <c r="AG21" s="240"/>
      <c r="AH21" s="243"/>
      <c r="AI21" s="240"/>
      <c r="AJ21" s="243"/>
      <c r="AK21" s="240"/>
      <c r="AL21" s="243"/>
      <c r="AM21" s="240"/>
      <c r="AN21" s="243"/>
      <c r="AO21" s="240"/>
      <c r="AP21" s="243"/>
      <c r="AQ21" s="240"/>
      <c r="AR21" s="243"/>
      <c r="AU21" s="244" t="str">
        <f t="shared" si="8"/>
        <v>WFOŚiGW 302/2006/76/OA/po/P</v>
      </c>
      <c r="AV21" s="245">
        <f t="shared" si="8"/>
        <v>917338</v>
      </c>
      <c r="AW21" s="246">
        <f t="shared" si="9"/>
        <v>185097.3</v>
      </c>
      <c r="AX21" s="245">
        <f t="shared" si="10"/>
        <v>3735.8999999999996</v>
      </c>
      <c r="AY21" s="247">
        <f t="shared" si="11"/>
        <v>188833.19999999998</v>
      </c>
      <c r="AZ21" s="246">
        <f t="shared" si="12"/>
        <v>22377.3</v>
      </c>
      <c r="BA21" s="245">
        <f t="shared" si="13"/>
        <v>149.18</v>
      </c>
      <c r="BB21" s="247">
        <f t="shared" si="14"/>
        <v>22526.48</v>
      </c>
      <c r="BC21" s="246">
        <f t="shared" si="15"/>
        <v>0</v>
      </c>
      <c r="BD21" s="245">
        <f t="shared" si="16"/>
        <v>0</v>
      </c>
      <c r="BE21" s="247">
        <f t="shared" si="17"/>
        <v>0</v>
      </c>
      <c r="BF21" s="246">
        <f t="shared" si="18"/>
        <v>0</v>
      </c>
      <c r="BG21" s="245">
        <f t="shared" si="19"/>
        <v>0</v>
      </c>
      <c r="BH21" s="247">
        <f t="shared" si="20"/>
        <v>0</v>
      </c>
      <c r="BI21" s="246">
        <f t="shared" si="21"/>
        <v>0</v>
      </c>
      <c r="BJ21" s="245">
        <f t="shared" si="22"/>
        <v>0</v>
      </c>
      <c r="BK21" s="247">
        <f t="shared" si="23"/>
        <v>0</v>
      </c>
      <c r="BL21" s="246">
        <f t="shared" si="24"/>
        <v>0</v>
      </c>
      <c r="BM21" s="245">
        <f t="shared" si="25"/>
        <v>0</v>
      </c>
      <c r="BN21" s="247">
        <f t="shared" si="26"/>
        <v>0</v>
      </c>
      <c r="BO21" s="246">
        <f t="shared" si="27"/>
        <v>0</v>
      </c>
      <c r="BP21" s="245">
        <f t="shared" si="28"/>
        <v>0</v>
      </c>
      <c r="BQ21" s="247">
        <f t="shared" si="29"/>
        <v>0</v>
      </c>
      <c r="BR21" s="246">
        <f t="shared" si="30"/>
        <v>0</v>
      </c>
      <c r="BS21" s="245">
        <f t="shared" si="31"/>
        <v>0</v>
      </c>
      <c r="BT21" s="247">
        <f t="shared" si="32"/>
        <v>0</v>
      </c>
      <c r="BU21" s="246">
        <f t="shared" si="33"/>
        <v>0</v>
      </c>
      <c r="BV21" s="245">
        <f t="shared" si="34"/>
        <v>0</v>
      </c>
      <c r="BW21" s="247">
        <f t="shared" si="35"/>
        <v>0</v>
      </c>
      <c r="BX21" s="246">
        <f t="shared" si="36"/>
        <v>0</v>
      </c>
      <c r="BY21" s="245">
        <f t="shared" si="37"/>
        <v>0</v>
      </c>
      <c r="BZ21" s="247">
        <f t="shared" si="38"/>
        <v>0</v>
      </c>
      <c r="CA21" s="245">
        <f t="shared" si="39"/>
        <v>0</v>
      </c>
      <c r="CB21" s="245">
        <f t="shared" si="40"/>
        <v>0</v>
      </c>
      <c r="CC21" s="247">
        <f t="shared" si="41"/>
        <v>0</v>
      </c>
      <c r="CD21" s="245">
        <f t="shared" si="42"/>
        <v>0</v>
      </c>
      <c r="CE21" s="245">
        <f t="shared" si="43"/>
        <v>0</v>
      </c>
      <c r="CF21" s="247">
        <f t="shared" si="44"/>
        <v>0</v>
      </c>
      <c r="CG21" s="245">
        <f t="shared" si="45"/>
        <v>0</v>
      </c>
      <c r="CH21" s="245">
        <f t="shared" si="46"/>
        <v>0</v>
      </c>
      <c r="CI21" s="247">
        <f t="shared" si="47"/>
        <v>0</v>
      </c>
      <c r="CJ21" s="245">
        <f t="shared" si="48"/>
        <v>0</v>
      </c>
      <c r="CK21" s="245">
        <f t="shared" si="49"/>
        <v>0</v>
      </c>
      <c r="CL21" s="247">
        <f t="shared" si="50"/>
        <v>0</v>
      </c>
      <c r="CM21" s="245">
        <f t="shared" si="51"/>
        <v>0</v>
      </c>
      <c r="CN21" s="245">
        <f t="shared" si="52"/>
        <v>0</v>
      </c>
      <c r="CO21" s="247">
        <f t="shared" si="53"/>
        <v>0</v>
      </c>
      <c r="CP21" s="245">
        <f t="shared" si="54"/>
        <v>0</v>
      </c>
      <c r="CQ21" s="245">
        <f t="shared" si="55"/>
        <v>0</v>
      </c>
      <c r="CR21" s="247">
        <f t="shared" si="56"/>
        <v>0</v>
      </c>
      <c r="CS21" s="245">
        <f t="shared" si="57"/>
        <v>0</v>
      </c>
      <c r="CT21" s="245">
        <f t="shared" si="58"/>
        <v>0</v>
      </c>
      <c r="CU21" s="247">
        <f t="shared" si="59"/>
        <v>0</v>
      </c>
      <c r="CV21" s="245">
        <f t="shared" si="60"/>
        <v>0</v>
      </c>
      <c r="CW21" s="245">
        <f t="shared" si="61"/>
        <v>0</v>
      </c>
      <c r="CX21" s="247">
        <f t="shared" si="62"/>
        <v>0</v>
      </c>
    </row>
    <row r="22" spans="1:102" ht="13.5">
      <c r="A22" s="238" t="s">
        <v>214</v>
      </c>
      <c r="B22" s="239">
        <v>548278</v>
      </c>
      <c r="C22" s="240">
        <v>54824</v>
      </c>
      <c r="D22" s="240">
        <v>12124.13</v>
      </c>
      <c r="E22" s="240">
        <f t="shared" si="7"/>
        <v>315238</v>
      </c>
      <c r="F22" s="240">
        <f t="shared" si="63"/>
        <v>28371.599999999999</v>
      </c>
      <c r="G22" s="240">
        <v>54824</v>
      </c>
      <c r="H22" s="241">
        <v>8840.4</v>
      </c>
      <c r="I22" s="240">
        <v>54824</v>
      </c>
      <c r="J22" s="240">
        <v>7195.68</v>
      </c>
      <c r="K22" s="240">
        <v>54824</v>
      </c>
      <c r="L22" s="240">
        <v>5550.96</v>
      </c>
      <c r="M22" s="240">
        <v>54824</v>
      </c>
      <c r="N22" s="241">
        <v>3906.24</v>
      </c>
      <c r="O22" s="240">
        <v>54824</v>
      </c>
      <c r="P22" s="240">
        <v>2261.52</v>
      </c>
      <c r="Q22" s="240">
        <v>41118</v>
      </c>
      <c r="R22" s="240">
        <v>616.79999999999995</v>
      </c>
      <c r="S22" s="240"/>
      <c r="T22" s="241"/>
      <c r="U22" s="240"/>
      <c r="V22" s="241"/>
      <c r="W22" s="240"/>
      <c r="X22" s="240"/>
      <c r="Y22" s="242"/>
      <c r="Z22" s="241"/>
      <c r="AA22" s="240"/>
      <c r="AB22" s="243"/>
      <c r="AC22" s="240"/>
      <c r="AD22" s="243"/>
      <c r="AE22" s="240"/>
      <c r="AF22" s="243"/>
      <c r="AG22" s="240"/>
      <c r="AH22" s="243"/>
      <c r="AI22" s="240"/>
      <c r="AJ22" s="243"/>
      <c r="AK22" s="240"/>
      <c r="AL22" s="243"/>
      <c r="AM22" s="240"/>
      <c r="AN22" s="243"/>
      <c r="AO22" s="240"/>
      <c r="AP22" s="243"/>
      <c r="AQ22" s="240"/>
      <c r="AR22" s="243"/>
      <c r="AU22" s="244" t="str">
        <f t="shared" si="8"/>
        <v>WFOŚiGW 309/2006/76/OZ/uk/P</v>
      </c>
      <c r="AV22" s="245">
        <f t="shared" si="8"/>
        <v>548278</v>
      </c>
      <c r="AW22" s="246">
        <f t="shared" si="9"/>
        <v>260414</v>
      </c>
      <c r="AX22" s="245">
        <f t="shared" si="10"/>
        <v>19531.199999999997</v>
      </c>
      <c r="AY22" s="247">
        <f t="shared" si="11"/>
        <v>279945.2</v>
      </c>
      <c r="AZ22" s="246">
        <f t="shared" si="12"/>
        <v>205590</v>
      </c>
      <c r="BA22" s="245">
        <f t="shared" si="13"/>
        <v>12335.52</v>
      </c>
      <c r="BB22" s="247">
        <f t="shared" si="14"/>
        <v>217925.52</v>
      </c>
      <c r="BC22" s="246">
        <f t="shared" si="15"/>
        <v>150766</v>
      </c>
      <c r="BD22" s="245">
        <f t="shared" si="16"/>
        <v>6784.56</v>
      </c>
      <c r="BE22" s="247">
        <f t="shared" si="17"/>
        <v>157550.56</v>
      </c>
      <c r="BF22" s="246">
        <f t="shared" si="18"/>
        <v>95942</v>
      </c>
      <c r="BG22" s="245">
        <f t="shared" si="19"/>
        <v>2878.3199999999997</v>
      </c>
      <c r="BH22" s="247">
        <f t="shared" si="20"/>
        <v>98820.32</v>
      </c>
      <c r="BI22" s="246">
        <f t="shared" si="21"/>
        <v>41118</v>
      </c>
      <c r="BJ22" s="245">
        <f t="shared" si="22"/>
        <v>616.79999999999995</v>
      </c>
      <c r="BK22" s="247">
        <f t="shared" si="23"/>
        <v>41734.800000000003</v>
      </c>
      <c r="BL22" s="246">
        <f t="shared" si="24"/>
        <v>0</v>
      </c>
      <c r="BM22" s="245">
        <f t="shared" si="25"/>
        <v>0</v>
      </c>
      <c r="BN22" s="247">
        <f t="shared" si="26"/>
        <v>0</v>
      </c>
      <c r="BO22" s="246">
        <f t="shared" si="27"/>
        <v>0</v>
      </c>
      <c r="BP22" s="245">
        <f t="shared" si="28"/>
        <v>0</v>
      </c>
      <c r="BQ22" s="247">
        <f t="shared" si="29"/>
        <v>0</v>
      </c>
      <c r="BR22" s="246">
        <f t="shared" si="30"/>
        <v>0</v>
      </c>
      <c r="BS22" s="245">
        <f t="shared" si="31"/>
        <v>0</v>
      </c>
      <c r="BT22" s="247">
        <f t="shared" si="32"/>
        <v>0</v>
      </c>
      <c r="BU22" s="246">
        <f t="shared" si="33"/>
        <v>0</v>
      </c>
      <c r="BV22" s="245">
        <f t="shared" si="34"/>
        <v>0</v>
      </c>
      <c r="BW22" s="247">
        <f t="shared" si="35"/>
        <v>0</v>
      </c>
      <c r="BX22" s="246">
        <f t="shared" si="36"/>
        <v>0</v>
      </c>
      <c r="BY22" s="245">
        <f t="shared" si="37"/>
        <v>0</v>
      </c>
      <c r="BZ22" s="247">
        <f t="shared" si="38"/>
        <v>0</v>
      </c>
      <c r="CA22" s="245">
        <f t="shared" si="39"/>
        <v>0</v>
      </c>
      <c r="CB22" s="245">
        <f t="shared" si="40"/>
        <v>0</v>
      </c>
      <c r="CC22" s="247">
        <f t="shared" si="41"/>
        <v>0</v>
      </c>
      <c r="CD22" s="245">
        <f t="shared" si="42"/>
        <v>0</v>
      </c>
      <c r="CE22" s="245">
        <f t="shared" si="43"/>
        <v>0</v>
      </c>
      <c r="CF22" s="247">
        <f t="shared" si="44"/>
        <v>0</v>
      </c>
      <c r="CG22" s="245">
        <f t="shared" si="45"/>
        <v>0</v>
      </c>
      <c r="CH22" s="245">
        <f t="shared" si="46"/>
        <v>0</v>
      </c>
      <c r="CI22" s="247">
        <f t="shared" si="47"/>
        <v>0</v>
      </c>
      <c r="CJ22" s="245">
        <f t="shared" si="48"/>
        <v>0</v>
      </c>
      <c r="CK22" s="245">
        <f t="shared" si="49"/>
        <v>0</v>
      </c>
      <c r="CL22" s="247">
        <f t="shared" si="50"/>
        <v>0</v>
      </c>
      <c r="CM22" s="245">
        <f t="shared" si="51"/>
        <v>0</v>
      </c>
      <c r="CN22" s="245">
        <f t="shared" si="52"/>
        <v>0</v>
      </c>
      <c r="CO22" s="247">
        <f t="shared" si="53"/>
        <v>0</v>
      </c>
      <c r="CP22" s="245">
        <f t="shared" si="54"/>
        <v>0</v>
      </c>
      <c r="CQ22" s="245">
        <f t="shared" si="55"/>
        <v>0</v>
      </c>
      <c r="CR22" s="247">
        <f t="shared" si="56"/>
        <v>0</v>
      </c>
      <c r="CS22" s="245">
        <f t="shared" si="57"/>
        <v>0</v>
      </c>
      <c r="CT22" s="245">
        <f t="shared" si="58"/>
        <v>0</v>
      </c>
      <c r="CU22" s="247">
        <f t="shared" si="59"/>
        <v>0</v>
      </c>
      <c r="CV22" s="245">
        <f t="shared" si="60"/>
        <v>0</v>
      </c>
      <c r="CW22" s="245">
        <f t="shared" si="61"/>
        <v>0</v>
      </c>
      <c r="CX22" s="247">
        <f t="shared" si="62"/>
        <v>0</v>
      </c>
    </row>
    <row r="23" spans="1:102" ht="13.5">
      <c r="A23" s="248" t="s">
        <v>216</v>
      </c>
      <c r="B23" s="249">
        <v>222896</v>
      </c>
      <c r="C23" s="250">
        <v>23480</v>
      </c>
      <c r="D23" s="250">
        <v>5869.99</v>
      </c>
      <c r="E23" s="240">
        <f t="shared" si="7"/>
        <v>158326</v>
      </c>
      <c r="F23" s="240">
        <f t="shared" si="63"/>
        <v>16476.45</v>
      </c>
      <c r="G23" s="250">
        <v>23480</v>
      </c>
      <c r="H23" s="251">
        <v>4466.09</v>
      </c>
      <c r="I23" s="250">
        <v>23480</v>
      </c>
      <c r="J23" s="240">
        <v>3761.69</v>
      </c>
      <c r="K23" s="250">
        <v>23480</v>
      </c>
      <c r="L23" s="240">
        <v>3057.28</v>
      </c>
      <c r="M23" s="250">
        <v>23480</v>
      </c>
      <c r="N23" s="241">
        <v>2352.89</v>
      </c>
      <c r="O23" s="250">
        <v>23480</v>
      </c>
      <c r="P23" s="240">
        <v>1648.49</v>
      </c>
      <c r="Q23" s="250">
        <v>23480</v>
      </c>
      <c r="R23" s="240">
        <v>944.08</v>
      </c>
      <c r="S23" s="240">
        <v>17446</v>
      </c>
      <c r="T23" s="241">
        <v>245.93</v>
      </c>
      <c r="U23" s="240"/>
      <c r="V23" s="241"/>
      <c r="W23" s="240"/>
      <c r="X23" s="240"/>
      <c r="Y23" s="242"/>
      <c r="Z23" s="241"/>
      <c r="AA23" s="240"/>
      <c r="AB23" s="243"/>
      <c r="AC23" s="240"/>
      <c r="AD23" s="243"/>
      <c r="AE23" s="240"/>
      <c r="AF23" s="243"/>
      <c r="AG23" s="240"/>
      <c r="AH23" s="243"/>
      <c r="AI23" s="240"/>
      <c r="AJ23" s="243"/>
      <c r="AK23" s="240"/>
      <c r="AL23" s="243"/>
      <c r="AM23" s="240"/>
      <c r="AN23" s="243"/>
      <c r="AO23" s="240"/>
      <c r="AP23" s="243"/>
      <c r="AQ23" s="240"/>
      <c r="AR23" s="243"/>
      <c r="AU23" s="244" t="str">
        <f t="shared" si="8"/>
        <v>WFOŚiGW 315/2007/76/OA/no/P</v>
      </c>
      <c r="AV23" s="245">
        <f t="shared" si="8"/>
        <v>222896</v>
      </c>
      <c r="AW23" s="246">
        <f t="shared" si="9"/>
        <v>134846</v>
      </c>
      <c r="AX23" s="245">
        <f t="shared" si="10"/>
        <v>12010.36</v>
      </c>
      <c r="AY23" s="247">
        <f t="shared" si="11"/>
        <v>146856.35999999999</v>
      </c>
      <c r="AZ23" s="246">
        <f t="shared" si="12"/>
        <v>111366</v>
      </c>
      <c r="BA23" s="245">
        <f t="shared" si="13"/>
        <v>8248.67</v>
      </c>
      <c r="BB23" s="247">
        <f t="shared" si="14"/>
        <v>119614.67</v>
      </c>
      <c r="BC23" s="246">
        <f t="shared" si="15"/>
        <v>87886</v>
      </c>
      <c r="BD23" s="245">
        <f t="shared" si="16"/>
        <v>5191.3900000000003</v>
      </c>
      <c r="BE23" s="247">
        <f t="shared" si="17"/>
        <v>93077.39</v>
      </c>
      <c r="BF23" s="246">
        <f t="shared" si="18"/>
        <v>64406</v>
      </c>
      <c r="BG23" s="245">
        <f t="shared" si="19"/>
        <v>2838.5</v>
      </c>
      <c r="BH23" s="247">
        <f t="shared" si="20"/>
        <v>67244.5</v>
      </c>
      <c r="BI23" s="246">
        <f t="shared" si="21"/>
        <v>40926</v>
      </c>
      <c r="BJ23" s="245">
        <f t="shared" si="22"/>
        <v>1190.01</v>
      </c>
      <c r="BK23" s="247">
        <f t="shared" si="23"/>
        <v>42116.01</v>
      </c>
      <c r="BL23" s="246">
        <f t="shared" si="24"/>
        <v>17446</v>
      </c>
      <c r="BM23" s="245">
        <f t="shared" si="25"/>
        <v>245.93</v>
      </c>
      <c r="BN23" s="247">
        <f t="shared" si="26"/>
        <v>17691.93</v>
      </c>
      <c r="BO23" s="246">
        <f t="shared" si="27"/>
        <v>0</v>
      </c>
      <c r="BP23" s="245">
        <f t="shared" si="28"/>
        <v>0</v>
      </c>
      <c r="BQ23" s="247">
        <f t="shared" si="29"/>
        <v>0</v>
      </c>
      <c r="BR23" s="246">
        <f t="shared" si="30"/>
        <v>0</v>
      </c>
      <c r="BS23" s="245">
        <f t="shared" si="31"/>
        <v>0</v>
      </c>
      <c r="BT23" s="247">
        <f t="shared" si="32"/>
        <v>0</v>
      </c>
      <c r="BU23" s="246">
        <f t="shared" si="33"/>
        <v>0</v>
      </c>
      <c r="BV23" s="245">
        <f t="shared" si="34"/>
        <v>0</v>
      </c>
      <c r="BW23" s="247">
        <f t="shared" si="35"/>
        <v>0</v>
      </c>
      <c r="BX23" s="246">
        <f t="shared" si="36"/>
        <v>0</v>
      </c>
      <c r="BY23" s="245">
        <f t="shared" si="37"/>
        <v>0</v>
      </c>
      <c r="BZ23" s="247">
        <f t="shared" si="38"/>
        <v>0</v>
      </c>
      <c r="CA23" s="245">
        <f t="shared" si="39"/>
        <v>0</v>
      </c>
      <c r="CB23" s="245">
        <f t="shared" si="40"/>
        <v>0</v>
      </c>
      <c r="CC23" s="247">
        <f t="shared" si="41"/>
        <v>0</v>
      </c>
      <c r="CD23" s="245">
        <f t="shared" si="42"/>
        <v>0</v>
      </c>
      <c r="CE23" s="245">
        <f t="shared" si="43"/>
        <v>0</v>
      </c>
      <c r="CF23" s="247">
        <f t="shared" si="44"/>
        <v>0</v>
      </c>
      <c r="CG23" s="245">
        <f t="shared" si="45"/>
        <v>0</v>
      </c>
      <c r="CH23" s="245">
        <f t="shared" si="46"/>
        <v>0</v>
      </c>
      <c r="CI23" s="247">
        <f t="shared" si="47"/>
        <v>0</v>
      </c>
      <c r="CJ23" s="245">
        <f t="shared" si="48"/>
        <v>0</v>
      </c>
      <c r="CK23" s="245">
        <f t="shared" si="49"/>
        <v>0</v>
      </c>
      <c r="CL23" s="247">
        <f t="shared" si="50"/>
        <v>0</v>
      </c>
      <c r="CM23" s="245">
        <f t="shared" si="51"/>
        <v>0</v>
      </c>
      <c r="CN23" s="245">
        <f t="shared" si="52"/>
        <v>0</v>
      </c>
      <c r="CO23" s="247">
        <f t="shared" si="53"/>
        <v>0</v>
      </c>
      <c r="CP23" s="245">
        <f t="shared" si="54"/>
        <v>0</v>
      </c>
      <c r="CQ23" s="245">
        <f t="shared" si="55"/>
        <v>0</v>
      </c>
      <c r="CR23" s="247">
        <f t="shared" si="56"/>
        <v>0</v>
      </c>
      <c r="CS23" s="245">
        <f t="shared" si="57"/>
        <v>0</v>
      </c>
      <c r="CT23" s="245">
        <f t="shared" si="58"/>
        <v>0</v>
      </c>
      <c r="CU23" s="247">
        <f t="shared" si="59"/>
        <v>0</v>
      </c>
      <c r="CV23" s="245">
        <f t="shared" si="60"/>
        <v>0</v>
      </c>
      <c r="CW23" s="245">
        <f t="shared" si="61"/>
        <v>0</v>
      </c>
      <c r="CX23" s="247">
        <f t="shared" si="62"/>
        <v>0</v>
      </c>
    </row>
    <row r="24" spans="1:102" ht="13.5">
      <c r="A24" s="238" t="s">
        <v>218</v>
      </c>
      <c r="B24" s="249">
        <v>141743.99</v>
      </c>
      <c r="C24" s="250"/>
      <c r="D24" s="250">
        <v>4252.32</v>
      </c>
      <c r="E24" s="240">
        <f t="shared" si="7"/>
        <v>141743.99000000002</v>
      </c>
      <c r="F24" s="240">
        <f t="shared" si="63"/>
        <v>11322.24</v>
      </c>
      <c r="G24" s="250"/>
      <c r="H24" s="250">
        <v>4252.32</v>
      </c>
      <c r="I24" s="250"/>
      <c r="J24" s="251">
        <v>4252.32</v>
      </c>
      <c r="K24" s="240">
        <v>140342.70000000001</v>
      </c>
      <c r="L24" s="240">
        <v>2808.26</v>
      </c>
      <c r="M24" s="240">
        <v>1401.29</v>
      </c>
      <c r="N24" s="240">
        <v>9.34</v>
      </c>
      <c r="O24" s="241"/>
      <c r="P24" s="241"/>
      <c r="Q24" s="240"/>
      <c r="R24" s="240"/>
      <c r="S24" s="240"/>
      <c r="T24" s="240"/>
      <c r="U24" s="240"/>
      <c r="V24" s="241"/>
      <c r="W24" s="240"/>
      <c r="X24" s="240"/>
      <c r="Y24" s="242"/>
      <c r="Z24" s="241"/>
      <c r="AA24" s="240"/>
      <c r="AB24" s="243"/>
      <c r="AC24" s="240"/>
      <c r="AD24" s="243"/>
      <c r="AE24" s="240"/>
      <c r="AF24" s="243"/>
      <c r="AG24" s="240"/>
      <c r="AH24" s="243"/>
      <c r="AI24" s="240"/>
      <c r="AJ24" s="243"/>
      <c r="AK24" s="240"/>
      <c r="AL24" s="243"/>
      <c r="AM24" s="240"/>
      <c r="AN24" s="243"/>
      <c r="AO24" s="240"/>
      <c r="AP24" s="243"/>
      <c r="AQ24" s="240"/>
      <c r="AR24" s="243"/>
      <c r="AU24" s="244" t="str">
        <f t="shared" si="8"/>
        <v>WFOŚiGW 1302/2006/76/OA/po/P</v>
      </c>
      <c r="AV24" s="245">
        <f t="shared" si="8"/>
        <v>141743.99</v>
      </c>
      <c r="AW24" s="246">
        <f t="shared" si="9"/>
        <v>141743.99000000002</v>
      </c>
      <c r="AX24" s="245">
        <f t="shared" si="10"/>
        <v>7069.92</v>
      </c>
      <c r="AY24" s="247">
        <f t="shared" si="11"/>
        <v>148813.91000000003</v>
      </c>
      <c r="AZ24" s="246">
        <f t="shared" si="12"/>
        <v>141743.99000000002</v>
      </c>
      <c r="BA24" s="245">
        <f t="shared" si="13"/>
        <v>2817.6000000000004</v>
      </c>
      <c r="BB24" s="247">
        <f t="shared" si="14"/>
        <v>144561.59000000003</v>
      </c>
      <c r="BC24" s="246">
        <f t="shared" si="15"/>
        <v>1401.29</v>
      </c>
      <c r="BD24" s="245">
        <f t="shared" si="16"/>
        <v>9.34</v>
      </c>
      <c r="BE24" s="247">
        <f t="shared" si="17"/>
        <v>1410.6299999999999</v>
      </c>
      <c r="BF24" s="246">
        <f t="shared" si="18"/>
        <v>0</v>
      </c>
      <c r="BG24" s="245">
        <f t="shared" si="19"/>
        <v>0</v>
      </c>
      <c r="BH24" s="247">
        <f t="shared" si="20"/>
        <v>0</v>
      </c>
      <c r="BI24" s="246">
        <f t="shared" si="21"/>
        <v>0</v>
      </c>
      <c r="BJ24" s="245">
        <f t="shared" si="22"/>
        <v>0</v>
      </c>
      <c r="BK24" s="247">
        <f t="shared" si="23"/>
        <v>0</v>
      </c>
      <c r="BL24" s="246">
        <f t="shared" si="24"/>
        <v>0</v>
      </c>
      <c r="BM24" s="245">
        <f t="shared" si="25"/>
        <v>0</v>
      </c>
      <c r="BN24" s="247">
        <f t="shared" si="26"/>
        <v>0</v>
      </c>
      <c r="BO24" s="246">
        <f t="shared" si="27"/>
        <v>0</v>
      </c>
      <c r="BP24" s="245">
        <f t="shared" si="28"/>
        <v>0</v>
      </c>
      <c r="BQ24" s="247">
        <f t="shared" si="29"/>
        <v>0</v>
      </c>
      <c r="BR24" s="246">
        <f t="shared" si="30"/>
        <v>0</v>
      </c>
      <c r="BS24" s="245">
        <f t="shared" si="31"/>
        <v>0</v>
      </c>
      <c r="BT24" s="247">
        <f t="shared" si="32"/>
        <v>0</v>
      </c>
      <c r="BU24" s="246">
        <f t="shared" si="33"/>
        <v>0</v>
      </c>
      <c r="BV24" s="245">
        <f t="shared" si="34"/>
        <v>0</v>
      </c>
      <c r="BW24" s="247">
        <f t="shared" si="35"/>
        <v>0</v>
      </c>
      <c r="BX24" s="246">
        <f t="shared" si="36"/>
        <v>0</v>
      </c>
      <c r="BY24" s="245">
        <f t="shared" si="37"/>
        <v>0</v>
      </c>
      <c r="BZ24" s="247">
        <f t="shared" si="38"/>
        <v>0</v>
      </c>
      <c r="CA24" s="245">
        <f t="shared" si="39"/>
        <v>0</v>
      </c>
      <c r="CB24" s="245">
        <f t="shared" si="40"/>
        <v>0</v>
      </c>
      <c r="CC24" s="247">
        <f t="shared" si="41"/>
        <v>0</v>
      </c>
      <c r="CD24" s="245">
        <f t="shared" si="42"/>
        <v>0</v>
      </c>
      <c r="CE24" s="245">
        <f t="shared" si="43"/>
        <v>0</v>
      </c>
      <c r="CF24" s="247">
        <f t="shared" si="44"/>
        <v>0</v>
      </c>
      <c r="CG24" s="245">
        <f t="shared" si="45"/>
        <v>0</v>
      </c>
      <c r="CH24" s="245">
        <f t="shared" si="46"/>
        <v>0</v>
      </c>
      <c r="CI24" s="247">
        <f t="shared" si="47"/>
        <v>0</v>
      </c>
      <c r="CJ24" s="245">
        <f t="shared" si="48"/>
        <v>0</v>
      </c>
      <c r="CK24" s="245">
        <f t="shared" si="49"/>
        <v>0</v>
      </c>
      <c r="CL24" s="247">
        <f t="shared" si="50"/>
        <v>0</v>
      </c>
      <c r="CM24" s="245">
        <f t="shared" si="51"/>
        <v>0</v>
      </c>
      <c r="CN24" s="245">
        <f t="shared" si="52"/>
        <v>0</v>
      </c>
      <c r="CO24" s="247">
        <f t="shared" si="53"/>
        <v>0</v>
      </c>
      <c r="CP24" s="245">
        <f t="shared" si="54"/>
        <v>0</v>
      </c>
      <c r="CQ24" s="245">
        <f t="shared" si="55"/>
        <v>0</v>
      </c>
      <c r="CR24" s="247">
        <f t="shared" si="56"/>
        <v>0</v>
      </c>
      <c r="CS24" s="245">
        <f t="shared" si="57"/>
        <v>0</v>
      </c>
      <c r="CT24" s="245">
        <f t="shared" si="58"/>
        <v>0</v>
      </c>
      <c r="CU24" s="247">
        <f t="shared" si="59"/>
        <v>0</v>
      </c>
      <c r="CV24" s="245">
        <f t="shared" si="60"/>
        <v>0</v>
      </c>
      <c r="CW24" s="245">
        <f t="shared" si="61"/>
        <v>0</v>
      </c>
      <c r="CX24" s="247">
        <f t="shared" si="62"/>
        <v>0</v>
      </c>
    </row>
    <row r="25" spans="1:102" ht="12.75">
      <c r="A25" s="244" t="s">
        <v>270</v>
      </c>
      <c r="B25" s="239"/>
      <c r="C25" s="240"/>
      <c r="D25" s="240"/>
      <c r="E25" s="240">
        <f t="shared" si="7"/>
        <v>0</v>
      </c>
      <c r="F25" s="240">
        <f t="shared" si="63"/>
        <v>0</v>
      </c>
      <c r="G25" s="240"/>
      <c r="H25" s="240"/>
      <c r="I25" s="240"/>
      <c r="J25" s="240"/>
      <c r="K25" s="240"/>
      <c r="L25" s="241"/>
      <c r="M25" s="240"/>
      <c r="N25" s="240"/>
      <c r="O25" s="240"/>
      <c r="P25" s="240"/>
      <c r="Q25" s="241"/>
      <c r="R25" s="241"/>
      <c r="S25" s="240"/>
      <c r="T25" s="240"/>
      <c r="U25" s="240"/>
      <c r="V25" s="240"/>
      <c r="W25" s="240"/>
      <c r="X25" s="241"/>
      <c r="Y25" s="240"/>
      <c r="Z25" s="240"/>
      <c r="AA25" s="242"/>
      <c r="AB25" s="241"/>
      <c r="AC25" s="240"/>
      <c r="AD25" s="243"/>
      <c r="AE25" s="240"/>
      <c r="AF25" s="243"/>
      <c r="AG25" s="240"/>
      <c r="AH25" s="243"/>
      <c r="AI25" s="240"/>
      <c r="AJ25" s="243"/>
      <c r="AK25" s="240"/>
      <c r="AL25" s="243"/>
      <c r="AM25" s="240"/>
      <c r="AN25" s="243"/>
      <c r="AO25" s="240"/>
      <c r="AP25" s="243"/>
      <c r="AQ25" s="240"/>
      <c r="AR25" s="243"/>
      <c r="AU25" s="244" t="str">
        <f t="shared" si="8"/>
        <v xml:space="preserve"> -</v>
      </c>
      <c r="AV25" s="245"/>
      <c r="AW25" s="246"/>
      <c r="AX25" s="245"/>
      <c r="AY25" s="247"/>
      <c r="AZ25" s="246">
        <f t="shared" si="12"/>
        <v>0</v>
      </c>
      <c r="BA25" s="245">
        <f t="shared" si="13"/>
        <v>0</v>
      </c>
      <c r="BB25" s="247">
        <f t="shared" si="14"/>
        <v>0</v>
      </c>
      <c r="BC25" s="246">
        <f t="shared" si="15"/>
        <v>0</v>
      </c>
      <c r="BD25" s="245">
        <f t="shared" si="16"/>
        <v>0</v>
      </c>
      <c r="BE25" s="247">
        <f t="shared" si="17"/>
        <v>0</v>
      </c>
      <c r="BF25" s="246">
        <f t="shared" si="18"/>
        <v>0</v>
      </c>
      <c r="BG25" s="245">
        <f t="shared" si="19"/>
        <v>0</v>
      </c>
      <c r="BH25" s="247">
        <f t="shared" si="20"/>
        <v>0</v>
      </c>
      <c r="BI25" s="246">
        <f t="shared" si="21"/>
        <v>0</v>
      </c>
      <c r="BJ25" s="245">
        <f t="shared" si="22"/>
        <v>0</v>
      </c>
      <c r="BK25" s="247">
        <f t="shared" si="23"/>
        <v>0</v>
      </c>
      <c r="BL25" s="246">
        <f t="shared" si="24"/>
        <v>0</v>
      </c>
      <c r="BM25" s="245">
        <f t="shared" si="25"/>
        <v>0</v>
      </c>
      <c r="BN25" s="247">
        <f t="shared" si="26"/>
        <v>0</v>
      </c>
      <c r="BO25" s="246">
        <f t="shared" si="27"/>
        <v>0</v>
      </c>
      <c r="BP25" s="245">
        <f t="shared" si="28"/>
        <v>0</v>
      </c>
      <c r="BQ25" s="247">
        <f t="shared" si="29"/>
        <v>0</v>
      </c>
      <c r="BR25" s="246">
        <f t="shared" si="30"/>
        <v>0</v>
      </c>
      <c r="BS25" s="245">
        <f t="shared" si="31"/>
        <v>0</v>
      </c>
      <c r="BT25" s="247">
        <f t="shared" si="32"/>
        <v>0</v>
      </c>
      <c r="BU25" s="246">
        <f t="shared" si="33"/>
        <v>0</v>
      </c>
      <c r="BV25" s="245">
        <f t="shared" si="34"/>
        <v>0</v>
      </c>
      <c r="BW25" s="247">
        <f t="shared" si="35"/>
        <v>0</v>
      </c>
      <c r="BX25" s="246">
        <f t="shared" si="36"/>
        <v>0</v>
      </c>
      <c r="BY25" s="245">
        <f t="shared" si="37"/>
        <v>0</v>
      </c>
      <c r="BZ25" s="247">
        <f t="shared" si="38"/>
        <v>0</v>
      </c>
      <c r="CA25" s="245">
        <f t="shared" si="39"/>
        <v>0</v>
      </c>
      <c r="CB25" s="245">
        <f t="shared" si="40"/>
        <v>0</v>
      </c>
      <c r="CC25" s="247">
        <f t="shared" si="41"/>
        <v>0</v>
      </c>
      <c r="CD25" s="245">
        <f t="shared" si="42"/>
        <v>0</v>
      </c>
      <c r="CE25" s="245">
        <f t="shared" si="43"/>
        <v>0</v>
      </c>
      <c r="CF25" s="247">
        <f t="shared" si="44"/>
        <v>0</v>
      </c>
      <c r="CG25" s="245">
        <f t="shared" si="45"/>
        <v>0</v>
      </c>
      <c r="CH25" s="245">
        <f t="shared" si="46"/>
        <v>0</v>
      </c>
      <c r="CI25" s="247">
        <f t="shared" si="47"/>
        <v>0</v>
      </c>
      <c r="CJ25" s="245">
        <f t="shared" si="48"/>
        <v>0</v>
      </c>
      <c r="CK25" s="245">
        <f t="shared" si="49"/>
        <v>0</v>
      </c>
      <c r="CL25" s="247">
        <f t="shared" si="50"/>
        <v>0</v>
      </c>
      <c r="CM25" s="245">
        <f t="shared" si="51"/>
        <v>0</v>
      </c>
      <c r="CN25" s="245">
        <f t="shared" si="52"/>
        <v>0</v>
      </c>
      <c r="CO25" s="247">
        <f t="shared" si="53"/>
        <v>0</v>
      </c>
      <c r="CP25" s="245">
        <f t="shared" si="54"/>
        <v>0</v>
      </c>
      <c r="CQ25" s="245">
        <f t="shared" si="55"/>
        <v>0</v>
      </c>
      <c r="CR25" s="247">
        <f t="shared" si="56"/>
        <v>0</v>
      </c>
      <c r="CS25" s="245">
        <f t="shared" si="57"/>
        <v>0</v>
      </c>
      <c r="CT25" s="245">
        <f t="shared" si="58"/>
        <v>0</v>
      </c>
      <c r="CU25" s="247">
        <f t="shared" si="59"/>
        <v>0</v>
      </c>
      <c r="CV25" s="245">
        <f t="shared" si="60"/>
        <v>0</v>
      </c>
      <c r="CW25" s="245">
        <f t="shared" si="61"/>
        <v>0</v>
      </c>
      <c r="CX25" s="247">
        <f t="shared" si="62"/>
        <v>0</v>
      </c>
    </row>
    <row r="26" spans="1:102" ht="12.75">
      <c r="A26" s="244" t="s">
        <v>270</v>
      </c>
      <c r="B26" s="249"/>
      <c r="C26" s="250"/>
      <c r="D26" s="250"/>
      <c r="E26" s="240">
        <f t="shared" si="7"/>
        <v>0</v>
      </c>
      <c r="F26" s="240">
        <f t="shared" si="63"/>
        <v>0</v>
      </c>
      <c r="G26" s="250"/>
      <c r="H26" s="250"/>
      <c r="I26" s="250"/>
      <c r="J26" s="250"/>
      <c r="K26" s="250"/>
      <c r="L26" s="251"/>
      <c r="M26" s="240"/>
      <c r="N26" s="240"/>
      <c r="O26" s="240"/>
      <c r="P26" s="240"/>
      <c r="Q26" s="241"/>
      <c r="R26" s="241"/>
      <c r="S26" s="240"/>
      <c r="T26" s="240"/>
      <c r="U26" s="240"/>
      <c r="V26" s="240"/>
      <c r="W26" s="240"/>
      <c r="X26" s="241"/>
      <c r="Y26" s="240"/>
      <c r="Z26" s="240"/>
      <c r="AA26" s="242"/>
      <c r="AB26" s="241"/>
      <c r="AC26" s="240"/>
      <c r="AD26" s="243"/>
      <c r="AE26" s="240"/>
      <c r="AF26" s="243"/>
      <c r="AG26" s="240"/>
      <c r="AH26" s="243"/>
      <c r="AI26" s="240"/>
      <c r="AJ26" s="243"/>
      <c r="AK26" s="240"/>
      <c r="AL26" s="243"/>
      <c r="AM26" s="240"/>
      <c r="AN26" s="243"/>
      <c r="AO26" s="240"/>
      <c r="AP26" s="243"/>
      <c r="AQ26" s="240"/>
      <c r="AR26" s="243"/>
      <c r="AU26" s="244" t="str">
        <f t="shared" si="8"/>
        <v xml:space="preserve"> -</v>
      </c>
      <c r="AV26" s="245"/>
      <c r="AW26" s="246"/>
      <c r="AX26" s="245"/>
      <c r="AY26" s="247"/>
      <c r="AZ26" s="246">
        <f t="shared" si="12"/>
        <v>0</v>
      </c>
      <c r="BA26" s="245">
        <f t="shared" si="13"/>
        <v>0</v>
      </c>
      <c r="BB26" s="247">
        <f t="shared" si="14"/>
        <v>0</v>
      </c>
      <c r="BC26" s="246">
        <f t="shared" si="15"/>
        <v>0</v>
      </c>
      <c r="BD26" s="245">
        <f t="shared" si="16"/>
        <v>0</v>
      </c>
      <c r="BE26" s="247">
        <f t="shared" si="17"/>
        <v>0</v>
      </c>
      <c r="BF26" s="246">
        <f t="shared" si="18"/>
        <v>0</v>
      </c>
      <c r="BG26" s="245">
        <f t="shared" si="19"/>
        <v>0</v>
      </c>
      <c r="BH26" s="247">
        <f t="shared" si="20"/>
        <v>0</v>
      </c>
      <c r="BI26" s="246">
        <f t="shared" si="21"/>
        <v>0</v>
      </c>
      <c r="BJ26" s="245">
        <f t="shared" si="22"/>
        <v>0</v>
      </c>
      <c r="BK26" s="247">
        <f t="shared" si="23"/>
        <v>0</v>
      </c>
      <c r="BL26" s="246">
        <f t="shared" si="24"/>
        <v>0</v>
      </c>
      <c r="BM26" s="245">
        <f t="shared" si="25"/>
        <v>0</v>
      </c>
      <c r="BN26" s="247">
        <f t="shared" si="26"/>
        <v>0</v>
      </c>
      <c r="BO26" s="246">
        <f t="shared" si="27"/>
        <v>0</v>
      </c>
      <c r="BP26" s="245">
        <f t="shared" si="28"/>
        <v>0</v>
      </c>
      <c r="BQ26" s="247">
        <f t="shared" si="29"/>
        <v>0</v>
      </c>
      <c r="BR26" s="246">
        <f t="shared" si="30"/>
        <v>0</v>
      </c>
      <c r="BS26" s="245">
        <f t="shared" si="31"/>
        <v>0</v>
      </c>
      <c r="BT26" s="247">
        <f t="shared" si="32"/>
        <v>0</v>
      </c>
      <c r="BU26" s="246">
        <f t="shared" si="33"/>
        <v>0</v>
      </c>
      <c r="BV26" s="245">
        <f t="shared" si="34"/>
        <v>0</v>
      </c>
      <c r="BW26" s="247">
        <f t="shared" si="35"/>
        <v>0</v>
      </c>
      <c r="BX26" s="246">
        <f t="shared" si="36"/>
        <v>0</v>
      </c>
      <c r="BY26" s="245">
        <f t="shared" si="37"/>
        <v>0</v>
      </c>
      <c r="BZ26" s="247">
        <f t="shared" si="38"/>
        <v>0</v>
      </c>
      <c r="CA26" s="245">
        <f t="shared" si="39"/>
        <v>0</v>
      </c>
      <c r="CB26" s="245">
        <f t="shared" si="40"/>
        <v>0</v>
      </c>
      <c r="CC26" s="247">
        <f t="shared" si="41"/>
        <v>0</v>
      </c>
      <c r="CD26" s="245">
        <f t="shared" si="42"/>
        <v>0</v>
      </c>
      <c r="CE26" s="245">
        <f t="shared" si="43"/>
        <v>0</v>
      </c>
      <c r="CF26" s="247">
        <f t="shared" si="44"/>
        <v>0</v>
      </c>
      <c r="CG26" s="245">
        <f t="shared" si="45"/>
        <v>0</v>
      </c>
      <c r="CH26" s="245">
        <f t="shared" si="46"/>
        <v>0</v>
      </c>
      <c r="CI26" s="247">
        <f t="shared" si="47"/>
        <v>0</v>
      </c>
      <c r="CJ26" s="245">
        <f t="shared" si="48"/>
        <v>0</v>
      </c>
      <c r="CK26" s="245">
        <f t="shared" si="49"/>
        <v>0</v>
      </c>
      <c r="CL26" s="247">
        <f t="shared" si="50"/>
        <v>0</v>
      </c>
      <c r="CM26" s="245">
        <f t="shared" si="51"/>
        <v>0</v>
      </c>
      <c r="CN26" s="245">
        <f t="shared" si="52"/>
        <v>0</v>
      </c>
      <c r="CO26" s="247">
        <f t="shared" si="53"/>
        <v>0</v>
      </c>
      <c r="CP26" s="245">
        <f t="shared" si="54"/>
        <v>0</v>
      </c>
      <c r="CQ26" s="245">
        <f t="shared" si="55"/>
        <v>0</v>
      </c>
      <c r="CR26" s="247">
        <f t="shared" si="56"/>
        <v>0</v>
      </c>
      <c r="CS26" s="245">
        <f t="shared" si="57"/>
        <v>0</v>
      </c>
      <c r="CT26" s="245">
        <f t="shared" si="58"/>
        <v>0</v>
      </c>
      <c r="CU26" s="247">
        <f t="shared" si="59"/>
        <v>0</v>
      </c>
      <c r="CV26" s="245">
        <f t="shared" si="60"/>
        <v>0</v>
      </c>
      <c r="CW26" s="245">
        <f t="shared" si="61"/>
        <v>0</v>
      </c>
      <c r="CX26" s="247">
        <f t="shared" si="62"/>
        <v>0</v>
      </c>
    </row>
    <row r="27" spans="1:102" ht="12.75">
      <c r="A27" s="244" t="s">
        <v>337</v>
      </c>
      <c r="B27" s="292"/>
      <c r="C27" s="250"/>
      <c r="D27" s="250"/>
      <c r="E27" s="240">
        <f t="shared" si="7"/>
        <v>2285316</v>
      </c>
      <c r="F27" s="240">
        <f t="shared" si="63"/>
        <v>1312808.9559999998</v>
      </c>
      <c r="G27" s="250"/>
      <c r="H27" s="250"/>
      <c r="I27" s="250"/>
      <c r="J27" s="250"/>
      <c r="K27" s="250">
        <v>0</v>
      </c>
      <c r="L27" s="251">
        <f>'pożyczka 2013'!$Y$15</f>
        <v>177008.15599999996</v>
      </c>
      <c r="M27" s="250">
        <v>0</v>
      </c>
      <c r="N27" s="251">
        <f>'pożyczka 2013'!$Y$27</f>
        <v>177008.15999999995</v>
      </c>
      <c r="O27" s="250">
        <v>228532</v>
      </c>
      <c r="P27" s="251">
        <f>'pożyczka 2013'!$Y$39</f>
        <v>175533.08999999997</v>
      </c>
      <c r="Q27" s="250">
        <v>228532</v>
      </c>
      <c r="R27" s="251">
        <f>'pożyczka 2013'!$Y$51</f>
        <v>157832.25000000003</v>
      </c>
      <c r="S27" s="250">
        <v>228532</v>
      </c>
      <c r="T27" s="251">
        <f>'pożyczka 2013'!$Y$63</f>
        <v>140131.41000000003</v>
      </c>
      <c r="U27" s="250">
        <v>228532</v>
      </c>
      <c r="V27" s="251">
        <f>'pożyczka 2013'!$Y$75</f>
        <v>122430.56999999999</v>
      </c>
      <c r="W27" s="250">
        <v>228532</v>
      </c>
      <c r="X27" s="251">
        <f>'pożyczka 2013'!$Y$87</f>
        <v>104729.72999999998</v>
      </c>
      <c r="Y27" s="250">
        <v>228532</v>
      </c>
      <c r="Z27" s="251">
        <f>'pożyczka 2013'!$Y$99</f>
        <v>87028.88</v>
      </c>
      <c r="AA27" s="250">
        <v>228532</v>
      </c>
      <c r="AB27" s="251">
        <f>'pożyczka 2013'!$Y$111</f>
        <v>69327.929999999993</v>
      </c>
      <c r="AC27" s="250">
        <v>228532</v>
      </c>
      <c r="AD27" s="251">
        <f>'pożyczka 2013'!$Y$123</f>
        <v>51627.090000000004</v>
      </c>
      <c r="AE27" s="240">
        <v>228532</v>
      </c>
      <c r="AF27" s="251">
        <f>'pożyczka 2013'!$Y$135</f>
        <v>33926.25</v>
      </c>
      <c r="AG27" s="240">
        <v>228528</v>
      </c>
      <c r="AH27" s="250">
        <f>'pożyczka 2013'!$Y$147</f>
        <v>16225.440000000002</v>
      </c>
      <c r="AI27" s="240">
        <v>0</v>
      </c>
      <c r="AJ27" s="250">
        <v>0</v>
      </c>
      <c r="AK27" s="240">
        <v>0</v>
      </c>
      <c r="AL27" s="250">
        <v>0</v>
      </c>
      <c r="AM27" s="240">
        <v>0</v>
      </c>
      <c r="AN27" s="250">
        <v>0</v>
      </c>
      <c r="AO27" s="240">
        <v>0</v>
      </c>
      <c r="AP27" s="250">
        <v>0</v>
      </c>
      <c r="AQ27" s="240">
        <v>0</v>
      </c>
      <c r="AR27" s="250">
        <v>0</v>
      </c>
      <c r="AU27" s="244" t="str">
        <f t="shared" si="8"/>
        <v>pożyczka 2013</v>
      </c>
      <c r="AV27" s="245"/>
      <c r="AW27" s="615"/>
      <c r="AX27" s="616"/>
      <c r="AY27" s="617"/>
      <c r="AZ27" s="246">
        <f t="shared" si="12"/>
        <v>2285316</v>
      </c>
      <c r="BA27" s="245">
        <f t="shared" si="13"/>
        <v>1312808.9559999998</v>
      </c>
      <c r="BB27" s="247">
        <f t="shared" si="14"/>
        <v>3598124.9559999998</v>
      </c>
      <c r="BC27" s="246">
        <f t="shared" si="15"/>
        <v>2285316</v>
      </c>
      <c r="BD27" s="245">
        <f t="shared" si="16"/>
        <v>1135800.7999999998</v>
      </c>
      <c r="BE27" s="247">
        <f t="shared" si="17"/>
        <v>3421116.8</v>
      </c>
      <c r="BF27" s="246">
        <f t="shared" si="18"/>
        <v>2285316</v>
      </c>
      <c r="BG27" s="245">
        <f t="shared" si="19"/>
        <v>958792.6399999999</v>
      </c>
      <c r="BH27" s="247">
        <f t="shared" si="20"/>
        <v>3244108.6399999997</v>
      </c>
      <c r="BI27" s="246">
        <f t="shared" si="21"/>
        <v>2056784</v>
      </c>
      <c r="BJ27" s="245">
        <f t="shared" si="22"/>
        <v>783259.55</v>
      </c>
      <c r="BK27" s="247">
        <f t="shared" si="23"/>
        <v>2840043.55</v>
      </c>
      <c r="BL27" s="246">
        <f t="shared" si="24"/>
        <v>1828252</v>
      </c>
      <c r="BM27" s="245">
        <f t="shared" si="25"/>
        <v>625427.30000000005</v>
      </c>
      <c r="BN27" s="247">
        <f t="shared" si="26"/>
        <v>2453679.2999999998</v>
      </c>
      <c r="BO27" s="246">
        <f t="shared" si="27"/>
        <v>1599720</v>
      </c>
      <c r="BP27" s="245">
        <f t="shared" si="28"/>
        <v>485295.89</v>
      </c>
      <c r="BQ27" s="247">
        <f t="shared" si="29"/>
        <v>2085015.8900000001</v>
      </c>
      <c r="BR27" s="246">
        <f t="shared" si="30"/>
        <v>1371188</v>
      </c>
      <c r="BS27" s="245">
        <f t="shared" si="31"/>
        <v>362865.32</v>
      </c>
      <c r="BT27" s="247">
        <f t="shared" si="32"/>
        <v>1734053.32</v>
      </c>
      <c r="BU27" s="246">
        <f t="shared" si="33"/>
        <v>1142656</v>
      </c>
      <c r="BV27" s="245">
        <f t="shared" si="34"/>
        <v>258135.59</v>
      </c>
      <c r="BW27" s="247">
        <f t="shared" si="35"/>
        <v>1400791.59</v>
      </c>
      <c r="BX27" s="246">
        <f t="shared" si="36"/>
        <v>914124</v>
      </c>
      <c r="BY27" s="245">
        <f t="shared" si="37"/>
        <v>171106.71</v>
      </c>
      <c r="BZ27" s="247">
        <f t="shared" si="38"/>
        <v>1085230.71</v>
      </c>
      <c r="CA27" s="245">
        <f t="shared" si="39"/>
        <v>685592</v>
      </c>
      <c r="CB27" s="245">
        <f t="shared" si="40"/>
        <v>101778.78</v>
      </c>
      <c r="CC27" s="247">
        <f t="shared" si="41"/>
        <v>787370.78</v>
      </c>
      <c r="CD27" s="245">
        <f t="shared" si="42"/>
        <v>457060</v>
      </c>
      <c r="CE27" s="245">
        <f t="shared" si="43"/>
        <v>50151.69</v>
      </c>
      <c r="CF27" s="247">
        <f t="shared" ref="CF27" si="64">SUM(CD27,CE27)</f>
        <v>507211.69</v>
      </c>
      <c r="CG27" s="245">
        <f>SUM($AG27)</f>
        <v>228528</v>
      </c>
      <c r="CH27" s="245">
        <f>SUM($AH27)</f>
        <v>16225.440000000002</v>
      </c>
      <c r="CI27" s="247">
        <f t="shared" si="47"/>
        <v>244753.44</v>
      </c>
      <c r="CJ27" s="245">
        <v>0</v>
      </c>
      <c r="CK27" s="245">
        <v>0</v>
      </c>
      <c r="CL27" s="247">
        <f t="shared" si="50"/>
        <v>0</v>
      </c>
      <c r="CM27" s="245">
        <v>0</v>
      </c>
      <c r="CN27" s="245">
        <v>0</v>
      </c>
      <c r="CO27" s="247">
        <f t="shared" si="53"/>
        <v>0</v>
      </c>
      <c r="CP27" s="245">
        <v>0</v>
      </c>
      <c r="CQ27" s="245">
        <v>0</v>
      </c>
      <c r="CR27" s="247">
        <f t="shared" si="56"/>
        <v>0</v>
      </c>
      <c r="CS27" s="245">
        <v>0</v>
      </c>
      <c r="CT27" s="245">
        <v>0</v>
      </c>
      <c r="CU27" s="247">
        <f t="shared" si="59"/>
        <v>0</v>
      </c>
      <c r="CV27" s="245">
        <v>0</v>
      </c>
      <c r="CW27" s="245">
        <v>0</v>
      </c>
      <c r="CX27" s="247">
        <f t="shared" si="62"/>
        <v>0</v>
      </c>
    </row>
    <row r="28" spans="1:102" ht="12.75">
      <c r="A28" s="609" t="s">
        <v>338</v>
      </c>
      <c r="B28" s="292"/>
      <c r="C28" s="250"/>
      <c r="D28" s="250"/>
      <c r="E28" s="240">
        <f t="shared" si="7"/>
        <v>3379957</v>
      </c>
      <c r="F28" s="240">
        <f t="shared" si="63"/>
        <v>1679837.55</v>
      </c>
      <c r="G28" s="250"/>
      <c r="H28" s="250"/>
      <c r="I28" s="250"/>
      <c r="J28" s="250"/>
      <c r="K28" s="250"/>
      <c r="L28" s="251"/>
      <c r="M28" s="250">
        <v>0</v>
      </c>
      <c r="N28" s="251">
        <f>'pożyczka 2014'!$Y$27</f>
        <v>261793.08</v>
      </c>
      <c r="O28" s="250">
        <v>337996</v>
      </c>
      <c r="P28" s="251">
        <f>'pożyczka 2014'!$Y$39</f>
        <v>259611.47</v>
      </c>
      <c r="Q28" s="250">
        <v>337996</v>
      </c>
      <c r="R28" s="251">
        <f>'pożyczka 2014'!$Y$51</f>
        <v>233432.15000000002</v>
      </c>
      <c r="S28" s="250">
        <v>337996</v>
      </c>
      <c r="T28" s="251">
        <f>'pożyczka 2014'!$Y$63</f>
        <v>207252.81999999998</v>
      </c>
      <c r="U28" s="250">
        <v>337996</v>
      </c>
      <c r="V28" s="251">
        <f>'pożyczka 2014'!$Y$75</f>
        <v>181073.39</v>
      </c>
      <c r="W28" s="250">
        <v>337996</v>
      </c>
      <c r="X28" s="251">
        <f>'pożyczka 2014'!$Y$87</f>
        <v>154894.06999999998</v>
      </c>
      <c r="Y28" s="250">
        <v>337996</v>
      </c>
      <c r="Z28" s="251">
        <f>'pożyczka 2014'!$Y$99</f>
        <v>128714.75</v>
      </c>
      <c r="AA28" s="250">
        <v>337996</v>
      </c>
      <c r="AB28" s="251">
        <f>'pożyczka 2014'!$Y$111</f>
        <v>102535.43</v>
      </c>
      <c r="AC28" s="250">
        <v>337996</v>
      </c>
      <c r="AD28" s="251">
        <f>'pożyczka 2014'!$Y$123</f>
        <v>76356.109999999986</v>
      </c>
      <c r="AE28" s="250">
        <v>337996</v>
      </c>
      <c r="AF28" s="251">
        <f>'pożyczka 2014'!$Y$135</f>
        <v>50176.789999999994</v>
      </c>
      <c r="AG28" s="240">
        <v>337993</v>
      </c>
      <c r="AH28" s="250">
        <f>'pożyczka 2014'!$Y$147</f>
        <v>23997.49</v>
      </c>
      <c r="AI28" s="240">
        <v>0</v>
      </c>
      <c r="AJ28" s="250">
        <v>0</v>
      </c>
      <c r="AK28" s="240">
        <v>0</v>
      </c>
      <c r="AL28" s="250">
        <v>0</v>
      </c>
      <c r="AM28" s="240">
        <v>0</v>
      </c>
      <c r="AN28" s="250">
        <v>0</v>
      </c>
      <c r="AO28" s="240">
        <v>0</v>
      </c>
      <c r="AP28" s="250">
        <v>0</v>
      </c>
      <c r="AQ28" s="240">
        <v>0</v>
      </c>
      <c r="AR28" s="250">
        <v>0</v>
      </c>
      <c r="AU28" s="609" t="str">
        <f t="shared" si="8"/>
        <v>pożyczka 2014</v>
      </c>
      <c r="AV28" s="610"/>
      <c r="AW28" s="618"/>
      <c r="AX28" s="619"/>
      <c r="AY28" s="620"/>
      <c r="AZ28" s="615"/>
      <c r="BA28" s="616"/>
      <c r="BB28" s="617"/>
      <c r="BC28" s="246">
        <f t="shared" si="15"/>
        <v>3379957</v>
      </c>
      <c r="BD28" s="245">
        <f t="shared" si="16"/>
        <v>1679837.55</v>
      </c>
      <c r="BE28" s="247">
        <f t="shared" ref="BE28" si="65">SUM(BC28,BD28)</f>
        <v>5059794.55</v>
      </c>
      <c r="BF28" s="246">
        <f t="shared" si="18"/>
        <v>3379957</v>
      </c>
      <c r="BG28" s="245">
        <f t="shared" si="19"/>
        <v>1418044.47</v>
      </c>
      <c r="BH28" s="247">
        <f t="shared" ref="BH28" si="66">SUM(BF28,BG28)</f>
        <v>4798001.47</v>
      </c>
      <c r="BI28" s="246">
        <f t="shared" si="21"/>
        <v>3041961</v>
      </c>
      <c r="BJ28" s="245">
        <f t="shared" si="22"/>
        <v>1158432.9999999998</v>
      </c>
      <c r="BK28" s="247">
        <f t="shared" ref="BK28" si="67">SUM(BI28,BJ28)</f>
        <v>4200394</v>
      </c>
      <c r="BL28" s="246">
        <f t="shared" si="24"/>
        <v>2703965</v>
      </c>
      <c r="BM28" s="245">
        <f t="shared" si="25"/>
        <v>925000.85</v>
      </c>
      <c r="BN28" s="247">
        <f t="shared" ref="BN28" si="68">SUM(BL28,BM28)</f>
        <v>3628965.85</v>
      </c>
      <c r="BO28" s="246">
        <f t="shared" si="27"/>
        <v>2365969</v>
      </c>
      <c r="BP28" s="245">
        <f t="shared" si="28"/>
        <v>717748.02999999991</v>
      </c>
      <c r="BQ28" s="247">
        <f t="shared" ref="BQ28" si="69">SUM(BO28,BP28)</f>
        <v>3083717.03</v>
      </c>
      <c r="BR28" s="246">
        <f t="shared" si="30"/>
        <v>2027973</v>
      </c>
      <c r="BS28" s="245">
        <f t="shared" si="31"/>
        <v>536674.6399999999</v>
      </c>
      <c r="BT28" s="247">
        <f t="shared" ref="BT28" si="70">SUM(BR28,BS28)</f>
        <v>2564647.6399999997</v>
      </c>
      <c r="BU28" s="246">
        <f t="shared" si="33"/>
        <v>1689977</v>
      </c>
      <c r="BV28" s="245">
        <f t="shared" si="34"/>
        <v>381780.56999999995</v>
      </c>
      <c r="BW28" s="247">
        <f t="shared" ref="BW28" si="71">SUM(BU28,BV28)</f>
        <v>2071757.5699999998</v>
      </c>
      <c r="BX28" s="246">
        <f t="shared" si="36"/>
        <v>1351981</v>
      </c>
      <c r="BY28" s="245">
        <f t="shared" si="37"/>
        <v>253065.81999999995</v>
      </c>
      <c r="BZ28" s="247">
        <f t="shared" ref="BZ28" si="72">SUM(BX28,BY28)</f>
        <v>1605046.8199999998</v>
      </c>
      <c r="CA28" s="245">
        <f t="shared" si="39"/>
        <v>1013985</v>
      </c>
      <c r="CB28" s="245">
        <f t="shared" si="40"/>
        <v>150530.38999999998</v>
      </c>
      <c r="CC28" s="247">
        <f t="shared" ref="CC28" si="73">SUM(CA28,CB28)</f>
        <v>1164515.3899999999</v>
      </c>
      <c r="CD28" s="245">
        <f t="shared" si="42"/>
        <v>675989</v>
      </c>
      <c r="CE28" s="245">
        <f t="shared" si="43"/>
        <v>74174.28</v>
      </c>
      <c r="CF28" s="247">
        <f t="shared" ref="CF28" si="74">SUM(CD28,CE28)</f>
        <v>750163.28</v>
      </c>
      <c r="CG28" s="245">
        <f>SUM($AG28)</f>
        <v>337993</v>
      </c>
      <c r="CH28" s="245">
        <f>SUM($AH28)</f>
        <v>23997.49</v>
      </c>
      <c r="CI28" s="247">
        <f t="shared" si="47"/>
        <v>361990.49</v>
      </c>
      <c r="CJ28" s="245">
        <v>0</v>
      </c>
      <c r="CK28" s="245">
        <v>0</v>
      </c>
      <c r="CL28" s="247">
        <f t="shared" si="50"/>
        <v>0</v>
      </c>
      <c r="CM28" s="245">
        <v>0</v>
      </c>
      <c r="CN28" s="245">
        <v>0</v>
      </c>
      <c r="CO28" s="247">
        <f t="shared" si="53"/>
        <v>0</v>
      </c>
      <c r="CP28" s="245">
        <v>0</v>
      </c>
      <c r="CQ28" s="245">
        <v>0</v>
      </c>
      <c r="CR28" s="247">
        <f t="shared" si="56"/>
        <v>0</v>
      </c>
      <c r="CS28" s="245">
        <v>0</v>
      </c>
      <c r="CT28" s="245">
        <v>0</v>
      </c>
      <c r="CU28" s="247">
        <f t="shared" si="59"/>
        <v>0</v>
      </c>
      <c r="CV28" s="245">
        <v>0</v>
      </c>
      <c r="CW28" s="245">
        <v>0</v>
      </c>
      <c r="CX28" s="247">
        <f t="shared" si="62"/>
        <v>0</v>
      </c>
    </row>
    <row r="29" spans="1:102" ht="12.75">
      <c r="A29" s="609" t="s">
        <v>339</v>
      </c>
      <c r="B29" s="292"/>
      <c r="C29" s="250"/>
      <c r="D29" s="250"/>
      <c r="E29" s="240">
        <f t="shared" si="7"/>
        <v>547885</v>
      </c>
      <c r="F29" s="240">
        <f t="shared" si="63"/>
        <v>229571.57</v>
      </c>
      <c r="G29" s="250"/>
      <c r="H29" s="250"/>
      <c r="I29" s="250"/>
      <c r="J29" s="250"/>
      <c r="K29" s="250"/>
      <c r="L29" s="251"/>
      <c r="M29" s="250"/>
      <c r="N29" s="251"/>
      <c r="O29" s="250">
        <v>54872</v>
      </c>
      <c r="P29" s="251">
        <f>'pożyczka 2015'!$Y$39</f>
        <v>42082.01999999999</v>
      </c>
      <c r="Q29" s="250">
        <v>54872</v>
      </c>
      <c r="R29" s="251">
        <f>'pożyczka 2015'!$Y$51</f>
        <v>37831.869999999995</v>
      </c>
      <c r="S29" s="250">
        <v>54872</v>
      </c>
      <c r="T29" s="251">
        <f>'pożyczka 2015'!$Y$63</f>
        <v>33581.83</v>
      </c>
      <c r="U29" s="250">
        <v>54872</v>
      </c>
      <c r="V29" s="251">
        <f>'pożyczka 2015'!$Y$75</f>
        <v>29331.780000000006</v>
      </c>
      <c r="W29" s="250">
        <v>54872</v>
      </c>
      <c r="X29" s="251">
        <f>'pożyczka 2015'!$Y$87</f>
        <v>25081.630000000005</v>
      </c>
      <c r="Y29" s="250">
        <v>54872</v>
      </c>
      <c r="Z29" s="251">
        <f>'pożyczka 2015'!$Y$99</f>
        <v>20831.59</v>
      </c>
      <c r="AA29" s="250">
        <v>54872</v>
      </c>
      <c r="AB29" s="251">
        <f>'pożyczka 2015'!$Y$111</f>
        <v>16581.539999999997</v>
      </c>
      <c r="AC29" s="250">
        <v>54872</v>
      </c>
      <c r="AD29" s="251">
        <f>'pożyczka 2015'!$Y$123</f>
        <v>12331.390000000003</v>
      </c>
      <c r="AE29" s="250">
        <v>54872</v>
      </c>
      <c r="AF29" s="251">
        <f>'pożyczka 2015'!$Y$135</f>
        <v>8081.34</v>
      </c>
      <c r="AG29" s="250">
        <v>54037</v>
      </c>
      <c r="AH29" s="240">
        <f>'pożyczka 2015'!$Y$147</f>
        <v>3836.579999999999</v>
      </c>
      <c r="AI29" s="250">
        <v>0</v>
      </c>
      <c r="AJ29" s="240">
        <v>0</v>
      </c>
      <c r="AK29" s="250">
        <v>0</v>
      </c>
      <c r="AL29" s="240">
        <v>0</v>
      </c>
      <c r="AM29" s="250">
        <v>0</v>
      </c>
      <c r="AN29" s="240">
        <v>0</v>
      </c>
      <c r="AO29" s="250">
        <v>0</v>
      </c>
      <c r="AP29" s="240">
        <v>0</v>
      </c>
      <c r="AQ29" s="250">
        <v>0</v>
      </c>
      <c r="AR29" s="240">
        <v>0</v>
      </c>
      <c r="AU29" s="609" t="str">
        <f>A29</f>
        <v>pożyczka 2015</v>
      </c>
      <c r="AV29" s="610"/>
      <c r="AW29" s="621"/>
      <c r="AX29" s="622"/>
      <c r="AY29" s="623"/>
      <c r="AZ29" s="621"/>
      <c r="BA29" s="622"/>
      <c r="BB29" s="623"/>
      <c r="BC29" s="615"/>
      <c r="BD29" s="616"/>
      <c r="BE29" s="617"/>
      <c r="BF29" s="246">
        <f t="shared" si="18"/>
        <v>547885</v>
      </c>
      <c r="BG29" s="245">
        <f t="shared" si="19"/>
        <v>229571.57</v>
      </c>
      <c r="BH29" s="247">
        <f>SUM(BF29,BG29)</f>
        <v>777456.57000000007</v>
      </c>
      <c r="BI29" s="246">
        <f t="shared" si="21"/>
        <v>493013</v>
      </c>
      <c r="BJ29" s="245">
        <f t="shared" si="22"/>
        <v>187489.55000000002</v>
      </c>
      <c r="BK29" s="247">
        <f>SUM(BI29,BJ29)</f>
        <v>680502.55</v>
      </c>
      <c r="BL29" s="246">
        <f t="shared" si="24"/>
        <v>438141</v>
      </c>
      <c r="BM29" s="245">
        <f t="shared" si="25"/>
        <v>149657.68</v>
      </c>
      <c r="BN29" s="247">
        <f>SUM(BL29,BM29)</f>
        <v>587798.67999999993</v>
      </c>
      <c r="BO29" s="246">
        <f t="shared" si="27"/>
        <v>383269</v>
      </c>
      <c r="BP29" s="245">
        <f t="shared" si="28"/>
        <v>116075.85</v>
      </c>
      <c r="BQ29" s="247">
        <f>SUM(BO29,BP29)</f>
        <v>499344.85</v>
      </c>
      <c r="BR29" s="246">
        <f t="shared" si="30"/>
        <v>328397</v>
      </c>
      <c r="BS29" s="245">
        <f t="shared" si="31"/>
        <v>86744.069999999992</v>
      </c>
      <c r="BT29" s="247">
        <f>SUM(BR29,BS29)</f>
        <v>415141.07</v>
      </c>
      <c r="BU29" s="246">
        <f t="shared" si="33"/>
        <v>273525</v>
      </c>
      <c r="BV29" s="245">
        <f t="shared" si="34"/>
        <v>61662.44</v>
      </c>
      <c r="BW29" s="247">
        <f>SUM(BU29,BV29)</f>
        <v>335187.44</v>
      </c>
      <c r="BX29" s="246">
        <f t="shared" si="36"/>
        <v>218653</v>
      </c>
      <c r="BY29" s="245">
        <f t="shared" si="37"/>
        <v>40830.850000000006</v>
      </c>
      <c r="BZ29" s="247">
        <f>SUM(BX29,BY29)</f>
        <v>259483.85</v>
      </c>
      <c r="CA29" s="245">
        <f t="shared" si="39"/>
        <v>163781</v>
      </c>
      <c r="CB29" s="245">
        <f t="shared" si="40"/>
        <v>24249.31</v>
      </c>
      <c r="CC29" s="247">
        <f>SUM(CA29,CB29)</f>
        <v>188030.31</v>
      </c>
      <c r="CD29" s="245">
        <f t="shared" si="42"/>
        <v>108909</v>
      </c>
      <c r="CE29" s="245">
        <f t="shared" si="43"/>
        <v>11917.919999999998</v>
      </c>
      <c r="CF29" s="247">
        <f>SUM(CD29,CE29)</f>
        <v>120826.92</v>
      </c>
      <c r="CG29" s="245">
        <f>SUM($AG29)</f>
        <v>54037</v>
      </c>
      <c r="CH29" s="245">
        <f>SUM($AH29)</f>
        <v>3836.579999999999</v>
      </c>
      <c r="CI29" s="247">
        <f>SUM(CG29,CH29)</f>
        <v>57873.58</v>
      </c>
      <c r="CJ29" s="245">
        <v>0</v>
      </c>
      <c r="CK29" s="245">
        <v>0</v>
      </c>
      <c r="CL29" s="247">
        <f>SUM(CJ29,CK29)</f>
        <v>0</v>
      </c>
      <c r="CM29" s="245">
        <v>0</v>
      </c>
      <c r="CN29" s="245">
        <v>0</v>
      </c>
      <c r="CO29" s="247">
        <f>SUM(CM29,CN29)</f>
        <v>0</v>
      </c>
      <c r="CP29" s="245">
        <v>0</v>
      </c>
      <c r="CQ29" s="245">
        <v>0</v>
      </c>
      <c r="CR29" s="247">
        <f>SUM(CP29,CQ29)</f>
        <v>0</v>
      </c>
      <c r="CS29" s="245">
        <v>0</v>
      </c>
      <c r="CT29" s="245">
        <v>0</v>
      </c>
      <c r="CU29" s="247">
        <f>SUM(CS29,CT29)</f>
        <v>0</v>
      </c>
      <c r="CV29" s="245">
        <v>0</v>
      </c>
      <c r="CW29" s="245">
        <v>0</v>
      </c>
      <c r="CX29" s="247">
        <f>SUM(CV29,CW29)</f>
        <v>0</v>
      </c>
    </row>
    <row r="30" spans="1:102" ht="12.75">
      <c r="A30" s="609" t="s">
        <v>375</v>
      </c>
      <c r="B30" s="292"/>
      <c r="C30" s="250"/>
      <c r="D30" s="250"/>
      <c r="E30" s="240">
        <f>G30+I30+K30+M30+O30+Q30+S30+U30+W30+Y30+AA30+AC30+AE30+AG30+AI30+AK30+AM30+AO30+AQ30</f>
        <v>10800000</v>
      </c>
      <c r="F30" s="240">
        <f>H30+J30+L30+N30+P30+R30+T30+V30+X30+Z30+AB30+AD30+AF30+AH30+AJ30+AL30+AN30+AP30+AR30</f>
        <v>2365192</v>
      </c>
      <c r="G30" s="250"/>
      <c r="H30" s="250"/>
      <c r="I30" s="250"/>
      <c r="J30" s="251">
        <v>237249</v>
      </c>
      <c r="K30" s="250"/>
      <c r="L30" s="251">
        <v>268755</v>
      </c>
      <c r="M30" s="250">
        <v>830769</v>
      </c>
      <c r="N30" s="251">
        <v>252606</v>
      </c>
      <c r="O30" s="250">
        <v>830769</v>
      </c>
      <c r="P30" s="251">
        <v>236035</v>
      </c>
      <c r="Q30" s="250">
        <v>830769</v>
      </c>
      <c r="R30" s="251">
        <v>219031</v>
      </c>
      <c r="S30" s="250">
        <v>830769</v>
      </c>
      <c r="T30" s="251">
        <v>201584</v>
      </c>
      <c r="U30" s="250">
        <v>830769</v>
      </c>
      <c r="V30" s="251">
        <v>183682</v>
      </c>
      <c r="W30" s="250">
        <v>830769</v>
      </c>
      <c r="X30" s="251">
        <v>165312</v>
      </c>
      <c r="Y30" s="250">
        <v>830769</v>
      </c>
      <c r="Z30" s="251">
        <v>146463</v>
      </c>
      <c r="AA30" s="250">
        <v>830769</v>
      </c>
      <c r="AB30" s="251">
        <v>127122</v>
      </c>
      <c r="AC30" s="250">
        <v>830769</v>
      </c>
      <c r="AD30" s="251">
        <v>107275</v>
      </c>
      <c r="AE30" s="250">
        <v>830769</v>
      </c>
      <c r="AF30" s="251">
        <v>86912</v>
      </c>
      <c r="AG30" s="250">
        <v>830769</v>
      </c>
      <c r="AH30" s="251">
        <v>66016</v>
      </c>
      <c r="AI30" s="250">
        <v>830769</v>
      </c>
      <c r="AJ30" s="251">
        <v>44575</v>
      </c>
      <c r="AK30" s="250">
        <f>830769+3</f>
        <v>830772</v>
      </c>
      <c r="AL30" s="251">
        <v>22575</v>
      </c>
      <c r="AM30" s="250"/>
      <c r="AN30" s="251"/>
      <c r="AO30" s="250"/>
      <c r="AP30" s="251"/>
      <c r="AQ30" s="250"/>
      <c r="AR30" s="251"/>
      <c r="AU30" s="609" t="str">
        <f>A30</f>
        <v>pożyczka jessica</v>
      </c>
      <c r="AV30" s="610"/>
      <c r="AW30" s="621"/>
      <c r="AX30" s="622"/>
      <c r="AY30" s="623"/>
      <c r="AZ30" s="246">
        <v>9090000</v>
      </c>
      <c r="BA30" s="245">
        <f>SUM($H30,$J30,$L30,$N30,$P30,$R30,$T30,$V30,$X30,$Z30,$AB30,$AD30,$AF30,$AH30,$AJ30,$AL30,$AN30,$AP30,$AR30)</f>
        <v>2365192</v>
      </c>
      <c r="BB30" s="247">
        <f t="shared" ref="BB30" si="75">SUM(AZ30,BA30)</f>
        <v>11455192</v>
      </c>
      <c r="BC30" s="246">
        <f>SUM($M30,$O30,$Q30,$S30,$U30,$W30,$Y30,$AA30,$AC30,$AE30,$AG30,$AI30,$AK30,$AM30,$AO30,$AQ30)</f>
        <v>10800000</v>
      </c>
      <c r="BD30" s="245">
        <f>SUM($J30,$L30,$N30,$P30,$R30,$T30,$V30,$X30,$Z30,$AB30,$AD30,$AF30,$AH30,$AJ30,$AL30,$AN30,$AP30,$AR30)</f>
        <v>2365192</v>
      </c>
      <c r="BE30" s="247">
        <f t="shared" ref="BE30" si="76">SUM(BC30,BD30)</f>
        <v>13165192</v>
      </c>
      <c r="BF30" s="849">
        <f>SUM(O30,Q30,S30,U30,W30,Y30,AA30,AC30,AE30,AG30,AI30,AK30)</f>
        <v>9969231</v>
      </c>
      <c r="BG30" s="245">
        <f>SUM($L30,$N30,$P30,$R30,$T30,$V30,$X30,$Z30,$AB30,$AD30,$AF30,$AH30,$AJ30,$AL30,$AN30,$AP30,$AR30)</f>
        <v>2127943</v>
      </c>
      <c r="BH30" s="247">
        <f>SUM(BF30,BG30)</f>
        <v>12097174</v>
      </c>
      <c r="BI30" s="246">
        <f>SUM($Q30,$S30,$U30,$W30,$Y30,$AA30,$AC30,$AE30,$AG30,$AI30,$AK30)</f>
        <v>9138462</v>
      </c>
      <c r="BJ30" s="245">
        <f>SUM($N30,$P30,$R30,$T30,$V30,$X30,$Z30,$AB30,$AD30,$AF30,$AH30,$AJ30,$AL30,$AN30,$AP30,$AR30)</f>
        <v>1859188</v>
      </c>
      <c r="BK30" s="247">
        <f>SUM(BI30,BJ30)</f>
        <v>10997650</v>
      </c>
      <c r="BL30" s="213">
        <f>SUM(S30,U30,W30,Y30,AA30,AC30,AE30,AG30,AI30,AK30)</f>
        <v>8307693</v>
      </c>
      <c r="BM30" s="245">
        <f>SUM($P30,$R30,$T30,$V30,$X30,$Z30,$AB30,$AD30,$AF30,$AH30,$AJ30,$AL30,$AN30,$AP30,$AR30)</f>
        <v>1606582</v>
      </c>
      <c r="BN30" s="247">
        <f>SUM(BL30,BM30)</f>
        <v>9914275</v>
      </c>
      <c r="BO30" s="213">
        <f>SUM(U30,W30,Y30,AA30,AC30,AE30,AG30,AI30,AK30)</f>
        <v>7476924</v>
      </c>
      <c r="BP30" s="245">
        <f>SUM($R30,$T30,$V30,$X30,$Z30,$AB30,$AD30,$AF30,$AH30,$AJ30,$AL30,$AN30,$AP30,$AR30)</f>
        <v>1370547</v>
      </c>
      <c r="BQ30" s="247">
        <f>SUM(BO30,BP30)</f>
        <v>8847471</v>
      </c>
      <c r="BR30" s="213">
        <f>SUM(W30,Y30,AA30,AC30,AE30,AG30,AI30,AK30)</f>
        <v>6646155</v>
      </c>
      <c r="BS30" s="245">
        <f>SUM($T30,$V30,$X30,$Z30,$AB30,$AD30,$AF30,$AH30,$AJ30,$AL30,$AN30,$AP30,$AR30)</f>
        <v>1151516</v>
      </c>
      <c r="BT30" s="247">
        <f>SUM(BR30,BS30)</f>
        <v>7797671</v>
      </c>
      <c r="BU30" s="246">
        <f>SUM($Y30,$AA30,$AC30,$AE30,$AG30,$AI30,$AK30,$AM30,$AO30,$AQ30)</f>
        <v>5815386</v>
      </c>
      <c r="BV30" s="245">
        <f>SUM($V30,$X30,$Z30,$AB30,$AD30,$AF30,$AH30,$AJ30,$AL30,$AN30,$AP30,$AR30)</f>
        <v>949932</v>
      </c>
      <c r="BW30" s="247">
        <f>SUM(BU30,BV30)</f>
        <v>6765318</v>
      </c>
      <c r="BX30" s="246">
        <f>SUM($AA30,$AC30,$AE30,$AG30,$AI30,$AK30,$AM30,$AO30,$AQ30)</f>
        <v>4984617</v>
      </c>
      <c r="BY30" s="245">
        <f>SUM($X30,$Z30,$AB30,$AD30,$AF30,$AH30,$AJ30,$AL30,$AN30,$AP30,$AR30)</f>
        <v>766250</v>
      </c>
      <c r="BZ30" s="247">
        <f>SUM(BX30,BY30)</f>
        <v>5750867</v>
      </c>
      <c r="CA30" s="246">
        <f>SUM($AC30,$AE30,$AG30,$AI30,$AK30,$AM30,$AO30,$AQ30)</f>
        <v>4153848</v>
      </c>
      <c r="CB30" s="245">
        <f>SUM($Z30,$AB30,$AD30,$AF30,$AH30,$AJ30,$AL30,$AN30,$AP30,$AR30)</f>
        <v>600938</v>
      </c>
      <c r="CC30" s="247">
        <f>SUM(CA30,CB30)</f>
        <v>4754786</v>
      </c>
      <c r="CD30" s="246">
        <f>SUM($AE30,$AG30,$AI30,$AK30,$AM30,$AO30,$AQ30)</f>
        <v>3323079</v>
      </c>
      <c r="CE30" s="245">
        <f>SUM($AB30,$AD30,$AF30,$AH30,$AJ30,$AL30,$AN30,$AP30,$AR30)</f>
        <v>454475</v>
      </c>
      <c r="CF30" s="247">
        <f>SUM(CD30,CE30)</f>
        <v>3777554</v>
      </c>
      <c r="CG30" s="246">
        <f>SUM($AG30,$AI30,$AK30,$AM30,$AO30,$AQ30)</f>
        <v>2492310</v>
      </c>
      <c r="CH30" s="245">
        <f>SUM($AD30,$AF30,$AH30,$AJ30,$AL30,$AN30,$AP30,$AR30)</f>
        <v>327353</v>
      </c>
      <c r="CI30" s="247">
        <f>SUM(CG30,CH30)</f>
        <v>2819663</v>
      </c>
      <c r="CJ30" s="246">
        <f>SUM($AI30,$AK30,$AM30,$AO30,$AQ30)</f>
        <v>1661541</v>
      </c>
      <c r="CK30" s="245">
        <f>SUM($AF30,$AH30,$AJ30,$AL30,$AN30,$AP30,$AR30)</f>
        <v>220078</v>
      </c>
      <c r="CL30" s="247">
        <f>SUM(CJ30,CK30)</f>
        <v>1881619</v>
      </c>
      <c r="CM30" s="246">
        <f>SUM($AK30,$AM30,$AO30,$AQ30)</f>
        <v>830772</v>
      </c>
      <c r="CN30" s="245">
        <f>SUM($AH30,$AJ30,$AL30,$AN30,$AP30,$AR30)</f>
        <v>133166</v>
      </c>
      <c r="CO30" s="247">
        <f>SUM(CM30,CN30)</f>
        <v>963938</v>
      </c>
      <c r="CP30" s="246">
        <f>SUM($AM30,$AO30,$AQ30)</f>
        <v>0</v>
      </c>
      <c r="CQ30" s="245">
        <f>SUM($AJ30,$AL30,$AN30,$AP30,$AR30)</f>
        <v>67150</v>
      </c>
      <c r="CR30" s="247">
        <f>SUM(CP30,CQ30)</f>
        <v>67150</v>
      </c>
      <c r="CS30" s="246">
        <f>SUM($AO30,$AQ30)</f>
        <v>0</v>
      </c>
      <c r="CT30" s="245">
        <f>SUM($AL30,$AN30,$AP30,$AR30)</f>
        <v>22575</v>
      </c>
      <c r="CU30" s="247">
        <f>SUM(CS30,CT30)</f>
        <v>22575</v>
      </c>
      <c r="CV30" s="246">
        <f>SUM($AQ30)</f>
        <v>0</v>
      </c>
      <c r="CW30" s="245">
        <f>SUM($AN30,$AP30,$AR30)</f>
        <v>0</v>
      </c>
      <c r="CX30" s="247">
        <f>SUM(CV30,CW30)</f>
        <v>0</v>
      </c>
    </row>
    <row r="31" spans="1:102" ht="13.5" thickBot="1">
      <c r="A31" s="252" t="s">
        <v>275</v>
      </c>
      <c r="B31" s="253">
        <f>SUM(B14:B29)</f>
        <v>5721940.9900000002</v>
      </c>
      <c r="C31" s="254">
        <f t="shared" ref="C31:D31" si="77">SUM(C14:C27)</f>
        <v>670898</v>
      </c>
      <c r="D31" s="254">
        <f t="shared" si="77"/>
        <v>114809.69</v>
      </c>
      <c r="E31" s="254">
        <f>SUM(E14:E26)</f>
        <v>2909826.29</v>
      </c>
      <c r="F31" s="254">
        <f>SUM(F14:F26)</f>
        <v>217323.91</v>
      </c>
      <c r="G31" s="254">
        <f>SUM(G14:G29)</f>
        <v>698867</v>
      </c>
      <c r="H31" s="254">
        <f>SUM(H14:H29)</f>
        <v>76564.539999999979</v>
      </c>
      <c r="I31" s="254">
        <f t="shared" ref="I31:AR31" si="78">SUM(I14:I30)</f>
        <v>660865</v>
      </c>
      <c r="J31" s="254">
        <f t="shared" si="78"/>
        <v>294821.18</v>
      </c>
      <c r="K31" s="254">
        <f t="shared" si="78"/>
        <v>601395</v>
      </c>
      <c r="L31" s="254">
        <f t="shared" si="78"/>
        <v>484812.81599999999</v>
      </c>
      <c r="M31" s="254">
        <f t="shared" si="78"/>
        <v>1276340.29</v>
      </c>
      <c r="N31" s="254">
        <f t="shared" si="78"/>
        <v>714231.45</v>
      </c>
      <c r="O31" s="254">
        <f t="shared" si="78"/>
        <v>1649637</v>
      </c>
      <c r="P31" s="254">
        <f t="shared" si="78"/>
        <v>725538.37</v>
      </c>
      <c r="Q31" s="254">
        <f t="shared" si="78"/>
        <v>1620325</v>
      </c>
      <c r="R31" s="254">
        <f t="shared" si="78"/>
        <v>654831.08000000007</v>
      </c>
      <c r="S31" s="254">
        <f t="shared" si="78"/>
        <v>1569330</v>
      </c>
      <c r="T31" s="254">
        <f t="shared" si="78"/>
        <v>584831.91999999993</v>
      </c>
      <c r="U31" s="254">
        <f t="shared" si="78"/>
        <v>1472512</v>
      </c>
      <c r="V31" s="254">
        <f t="shared" si="78"/>
        <v>516568.60000000003</v>
      </c>
      <c r="W31" s="254">
        <f t="shared" si="78"/>
        <v>1452169</v>
      </c>
      <c r="X31" s="254">
        <f t="shared" si="78"/>
        <v>450017.42999999993</v>
      </c>
      <c r="Y31" s="254">
        <f t="shared" si="78"/>
        <v>1452169</v>
      </c>
      <c r="Z31" s="254">
        <f t="shared" si="78"/>
        <v>383038.22</v>
      </c>
      <c r="AA31" s="254">
        <f t="shared" si="78"/>
        <v>1452169</v>
      </c>
      <c r="AB31" s="254">
        <f t="shared" si="78"/>
        <v>315566.90000000002</v>
      </c>
      <c r="AC31" s="254">
        <f t="shared" si="78"/>
        <v>1452169</v>
      </c>
      <c r="AD31" s="254">
        <f t="shared" si="78"/>
        <v>247589.59</v>
      </c>
      <c r="AE31" s="254">
        <f t="shared" si="78"/>
        <v>1452169</v>
      </c>
      <c r="AF31" s="254">
        <f t="shared" si="78"/>
        <v>179096.38</v>
      </c>
      <c r="AG31" s="254">
        <f t="shared" si="78"/>
        <v>1451327</v>
      </c>
      <c r="AH31" s="254">
        <f t="shared" si="78"/>
        <v>110075.51000000001</v>
      </c>
      <c r="AI31" s="254">
        <f t="shared" si="78"/>
        <v>830769</v>
      </c>
      <c r="AJ31" s="254">
        <f t="shared" si="78"/>
        <v>44575</v>
      </c>
      <c r="AK31" s="254">
        <f t="shared" si="78"/>
        <v>830772</v>
      </c>
      <c r="AL31" s="254">
        <f t="shared" si="78"/>
        <v>22575</v>
      </c>
      <c r="AM31" s="254">
        <f t="shared" si="78"/>
        <v>0</v>
      </c>
      <c r="AN31" s="254">
        <f t="shared" si="78"/>
        <v>0</v>
      </c>
      <c r="AO31" s="254">
        <f t="shared" si="78"/>
        <v>0</v>
      </c>
      <c r="AP31" s="254">
        <f t="shared" si="78"/>
        <v>0</v>
      </c>
      <c r="AQ31" s="254">
        <f t="shared" si="78"/>
        <v>0</v>
      </c>
      <c r="AR31" s="254">
        <f t="shared" si="78"/>
        <v>0</v>
      </c>
      <c r="AU31" s="255" t="s">
        <v>275</v>
      </c>
      <c r="AV31" s="256">
        <f>SUM(AV14:AV27)</f>
        <v>5721940.9900000002</v>
      </c>
      <c r="AW31" s="257">
        <f t="shared" ref="AW31:CB31" si="79">SUM(AW14:AW30)</f>
        <v>2210959.29</v>
      </c>
      <c r="AX31" s="258">
        <f t="shared" si="79"/>
        <v>140759.37</v>
      </c>
      <c r="AY31" s="259">
        <f t="shared" si="79"/>
        <v>2351718.66</v>
      </c>
      <c r="AZ31" s="257">
        <f t="shared" si="79"/>
        <v>12925410.289999999</v>
      </c>
      <c r="BA31" s="258">
        <f t="shared" si="79"/>
        <v>3761188.1459999997</v>
      </c>
      <c r="BB31" s="259">
        <f t="shared" si="79"/>
        <v>16686598.436000001</v>
      </c>
      <c r="BC31" s="257">
        <f t="shared" si="79"/>
        <v>17413972.289999999</v>
      </c>
      <c r="BD31" s="258">
        <f t="shared" si="79"/>
        <v>5224967.88</v>
      </c>
      <c r="BE31" s="259">
        <f t="shared" si="79"/>
        <v>22638940.170000002</v>
      </c>
      <c r="BF31" s="257">
        <f t="shared" si="79"/>
        <v>16685517</v>
      </c>
      <c r="BG31" s="258">
        <f t="shared" si="79"/>
        <v>4755665</v>
      </c>
      <c r="BH31" s="259">
        <f t="shared" si="79"/>
        <v>21441182</v>
      </c>
      <c r="BI31" s="257">
        <f t="shared" si="79"/>
        <v>15035880</v>
      </c>
      <c r="BJ31" s="258">
        <f t="shared" si="79"/>
        <v>3997406.63</v>
      </c>
      <c r="BK31" s="259">
        <f t="shared" si="79"/>
        <v>19033286.629999999</v>
      </c>
      <c r="BL31" s="257">
        <f t="shared" si="79"/>
        <v>13415555</v>
      </c>
      <c r="BM31" s="258">
        <f t="shared" si="79"/>
        <v>3309000.55</v>
      </c>
      <c r="BN31" s="259">
        <f t="shared" si="79"/>
        <v>16724555.550000001</v>
      </c>
      <c r="BO31" s="257">
        <f t="shared" si="79"/>
        <v>11846225</v>
      </c>
      <c r="BP31" s="258">
        <f t="shared" si="79"/>
        <v>2689717.63</v>
      </c>
      <c r="BQ31" s="259">
        <f t="shared" si="79"/>
        <v>14535942.629999999</v>
      </c>
      <c r="BR31" s="257">
        <f t="shared" si="79"/>
        <v>10373713</v>
      </c>
      <c r="BS31" s="258">
        <f t="shared" si="79"/>
        <v>2137800.0299999998</v>
      </c>
      <c r="BT31" s="259">
        <f t="shared" si="79"/>
        <v>12511513.030000001</v>
      </c>
      <c r="BU31" s="257">
        <f t="shared" si="79"/>
        <v>8921544</v>
      </c>
      <c r="BV31" s="258">
        <f t="shared" si="79"/>
        <v>1651510.5999999999</v>
      </c>
      <c r="BW31" s="259">
        <f t="shared" si="79"/>
        <v>10573054.6</v>
      </c>
      <c r="BX31" s="257">
        <f t="shared" si="79"/>
        <v>7469375</v>
      </c>
      <c r="BY31" s="258">
        <f t="shared" si="79"/>
        <v>1231253.3799999999</v>
      </c>
      <c r="BZ31" s="259">
        <f t="shared" si="79"/>
        <v>8700628.379999999</v>
      </c>
      <c r="CA31" s="257">
        <f t="shared" si="79"/>
        <v>6017206</v>
      </c>
      <c r="CB31" s="258">
        <f t="shared" si="79"/>
        <v>877496.48</v>
      </c>
      <c r="CC31" s="259">
        <f t="shared" ref="CC31:CX31" si="80">SUM(CC14:CC30)</f>
        <v>6894702.4800000004</v>
      </c>
      <c r="CD31" s="257">
        <f t="shared" si="80"/>
        <v>4565037</v>
      </c>
      <c r="CE31" s="258">
        <f t="shared" si="80"/>
        <v>590718.89</v>
      </c>
      <c r="CF31" s="259">
        <f t="shared" si="80"/>
        <v>5155755.8899999997</v>
      </c>
      <c r="CG31" s="257">
        <f t="shared" si="80"/>
        <v>3112868</v>
      </c>
      <c r="CH31" s="258">
        <f t="shared" si="80"/>
        <v>371412.51</v>
      </c>
      <c r="CI31" s="259">
        <f t="shared" si="80"/>
        <v>3484280.51</v>
      </c>
      <c r="CJ31" s="257">
        <f t="shared" si="80"/>
        <v>1661541</v>
      </c>
      <c r="CK31" s="258">
        <f t="shared" si="80"/>
        <v>220078</v>
      </c>
      <c r="CL31" s="259">
        <f t="shared" si="80"/>
        <v>1881619</v>
      </c>
      <c r="CM31" s="257">
        <f t="shared" si="80"/>
        <v>830772</v>
      </c>
      <c r="CN31" s="258">
        <f t="shared" si="80"/>
        <v>133166</v>
      </c>
      <c r="CO31" s="259">
        <f t="shared" si="80"/>
        <v>963938</v>
      </c>
      <c r="CP31" s="257">
        <f t="shared" si="80"/>
        <v>0</v>
      </c>
      <c r="CQ31" s="258">
        <f t="shared" si="80"/>
        <v>67150</v>
      </c>
      <c r="CR31" s="259">
        <f t="shared" si="80"/>
        <v>67150</v>
      </c>
      <c r="CS31" s="257">
        <f t="shared" si="80"/>
        <v>0</v>
      </c>
      <c r="CT31" s="258">
        <f t="shared" si="80"/>
        <v>22575</v>
      </c>
      <c r="CU31" s="259">
        <f t="shared" si="80"/>
        <v>22575</v>
      </c>
      <c r="CV31" s="257">
        <f t="shared" si="80"/>
        <v>0</v>
      </c>
      <c r="CW31" s="258">
        <f t="shared" si="80"/>
        <v>0</v>
      </c>
      <c r="CX31" s="259">
        <f t="shared" si="80"/>
        <v>0</v>
      </c>
    </row>
    <row r="32" spans="1:102" ht="14.25" thickBot="1">
      <c r="A32" s="233"/>
      <c r="B32" s="260" t="s">
        <v>272</v>
      </c>
      <c r="C32" s="1538">
        <f>SUM(C31,D31)</f>
        <v>785707.69</v>
      </c>
      <c r="D32" s="1538"/>
      <c r="E32" s="1538">
        <f>SUM(E31,F31)</f>
        <v>3127150.2</v>
      </c>
      <c r="F32" s="1538"/>
      <c r="G32" s="1538">
        <f>SUM(G31,H31)</f>
        <v>775431.54</v>
      </c>
      <c r="H32" s="1538"/>
      <c r="I32" s="1538">
        <f>SUM(I31,J31)</f>
        <v>955686.17999999993</v>
      </c>
      <c r="J32" s="1538"/>
      <c r="K32" s="1538">
        <f>SUM(K31,L31)</f>
        <v>1086207.8160000001</v>
      </c>
      <c r="L32" s="1538"/>
      <c r="M32" s="1538">
        <f>SUM(M31,N31)</f>
        <v>1990571.74</v>
      </c>
      <c r="N32" s="1538"/>
      <c r="O32" s="1538">
        <f>SUM(O31,P31)</f>
        <v>2375175.37</v>
      </c>
      <c r="P32" s="1539"/>
      <c r="Q32" s="1544">
        <f>SUM(Q31,R31)</f>
        <v>2275156.08</v>
      </c>
      <c r="R32" s="1544"/>
      <c r="S32" s="1545">
        <f>SUM(S31,T31)</f>
        <v>2154161.92</v>
      </c>
      <c r="T32" s="1546"/>
      <c r="U32" s="1538">
        <f>SUM(U31,V31)</f>
        <v>1989080.6</v>
      </c>
      <c r="V32" s="1539"/>
      <c r="W32" s="1538">
        <f>SUM(W31,X31)</f>
        <v>1902186.43</v>
      </c>
      <c r="X32" s="1538"/>
      <c r="Y32" s="1538">
        <f>SUM(Y31,Z31)</f>
        <v>1835207.22</v>
      </c>
      <c r="Z32" s="1538"/>
      <c r="AA32" s="1538">
        <f>SUM(AA31,AB31)</f>
        <v>1767735.9</v>
      </c>
      <c r="AB32" s="1539"/>
      <c r="AC32" s="1538">
        <f>SUM(AC31,AD31)</f>
        <v>1699758.59</v>
      </c>
      <c r="AD32" s="1538"/>
      <c r="AE32" s="1540">
        <f>SUM(AE31,AF31)</f>
        <v>1631265.38</v>
      </c>
      <c r="AF32" s="1539"/>
      <c r="AG32" s="1538">
        <f>SUM(AG31,AH31)</f>
        <v>1561402.51</v>
      </c>
      <c r="AH32" s="1541"/>
      <c r="AI32" s="1538">
        <f>SUM(AI31,AJ31)</f>
        <v>875344</v>
      </c>
      <c r="AJ32" s="1541"/>
      <c r="AK32" s="1538">
        <f>SUM(AK31,AL31)</f>
        <v>853347</v>
      </c>
      <c r="AL32" s="1541"/>
      <c r="AM32" s="1538">
        <f>SUM(AM31,AN31)</f>
        <v>0</v>
      </c>
      <c r="AN32" s="1541"/>
      <c r="AO32" s="1538">
        <f>SUM(AO31,AP31)</f>
        <v>0</v>
      </c>
      <c r="AP32" s="1541"/>
      <c r="AQ32" s="1538">
        <f>SUM(AQ31,AR31)</f>
        <v>0</v>
      </c>
      <c r="AR32" s="1541"/>
      <c r="AU32" s="261"/>
      <c r="AV32" s="261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</row>
    <row r="33" spans="1:102" ht="13.5" thickBot="1">
      <c r="A33" s="1542" t="s">
        <v>276</v>
      </c>
      <c r="B33" s="1543"/>
      <c r="C33" s="263">
        <f t="shared" ref="C33:AH33" si="81">SUM(C11,C31)</f>
        <v>670898</v>
      </c>
      <c r="D33" s="263">
        <f t="shared" si="81"/>
        <v>114809.69</v>
      </c>
      <c r="E33" s="263">
        <f t="shared" si="81"/>
        <v>2909826.29</v>
      </c>
      <c r="F33" s="263">
        <f t="shared" si="81"/>
        <v>217323.91</v>
      </c>
      <c r="G33" s="263">
        <f t="shared" si="81"/>
        <v>698867</v>
      </c>
      <c r="H33" s="263">
        <f t="shared" si="81"/>
        <v>76564.539999999979</v>
      </c>
      <c r="I33" s="263">
        <f t="shared" si="81"/>
        <v>660865</v>
      </c>
      <c r="J33" s="263">
        <f t="shared" si="81"/>
        <v>337089.18</v>
      </c>
      <c r="K33" s="263">
        <f t="shared" si="81"/>
        <v>601395</v>
      </c>
      <c r="L33" s="263">
        <f t="shared" si="81"/>
        <v>772886.81599999999</v>
      </c>
      <c r="M33" s="263">
        <f t="shared" si="81"/>
        <v>1599417.21</v>
      </c>
      <c r="N33" s="263">
        <f t="shared" si="81"/>
        <v>955173.45</v>
      </c>
      <c r="O33" s="263">
        <f t="shared" si="81"/>
        <v>1972713.92</v>
      </c>
      <c r="P33" s="264">
        <f t="shared" si="81"/>
        <v>953961.37</v>
      </c>
      <c r="Q33" s="263">
        <f t="shared" si="81"/>
        <v>1943401.92</v>
      </c>
      <c r="R33" s="263">
        <f t="shared" si="81"/>
        <v>869948.08000000007</v>
      </c>
      <c r="S33" s="263">
        <f t="shared" si="81"/>
        <v>1892406.92</v>
      </c>
      <c r="T33" s="263">
        <f t="shared" si="81"/>
        <v>785804.91999999993</v>
      </c>
      <c r="U33" s="264">
        <f t="shared" si="81"/>
        <v>1795588.92</v>
      </c>
      <c r="V33" s="264">
        <f t="shared" si="81"/>
        <v>702507.60000000009</v>
      </c>
      <c r="W33" s="263">
        <f t="shared" si="81"/>
        <v>1775245.92</v>
      </c>
      <c r="X33" s="263">
        <f t="shared" si="81"/>
        <v>619976.42999999993</v>
      </c>
      <c r="Y33" s="263">
        <f t="shared" si="81"/>
        <v>1775245.92</v>
      </c>
      <c r="Z33" s="263">
        <f t="shared" si="81"/>
        <v>536009.22</v>
      </c>
      <c r="AA33" s="263">
        <f t="shared" si="81"/>
        <v>1775245.92</v>
      </c>
      <c r="AB33" s="264">
        <f t="shared" si="81"/>
        <v>450480.9</v>
      </c>
      <c r="AC33" s="263">
        <f t="shared" si="81"/>
        <v>1775245.92</v>
      </c>
      <c r="AD33" s="263">
        <f t="shared" si="81"/>
        <v>363309.58999999997</v>
      </c>
      <c r="AE33" s="265">
        <f t="shared" si="81"/>
        <v>1775245.92</v>
      </c>
      <c r="AF33" s="264">
        <f t="shared" si="81"/>
        <v>274412.38</v>
      </c>
      <c r="AG33" s="263">
        <f t="shared" si="81"/>
        <v>1774403.92</v>
      </c>
      <c r="AH33" s="266">
        <f t="shared" si="81"/>
        <v>183701.51</v>
      </c>
      <c r="AI33" s="263">
        <f t="shared" ref="AI33:AR33" si="82">SUM(AI11,AI31)</f>
        <v>1153845.92</v>
      </c>
      <c r="AJ33" s="266">
        <f t="shared" si="82"/>
        <v>95143</v>
      </c>
      <c r="AK33" s="263">
        <f t="shared" si="82"/>
        <v>1153848.96</v>
      </c>
      <c r="AL33" s="266">
        <f t="shared" si="82"/>
        <v>48632</v>
      </c>
      <c r="AM33" s="263">
        <f t="shared" si="82"/>
        <v>0</v>
      </c>
      <c r="AN33" s="266">
        <f t="shared" si="82"/>
        <v>0</v>
      </c>
      <c r="AO33" s="263">
        <f t="shared" si="82"/>
        <v>0</v>
      </c>
      <c r="AP33" s="266">
        <f t="shared" si="82"/>
        <v>0</v>
      </c>
      <c r="AQ33" s="263">
        <f t="shared" si="82"/>
        <v>0</v>
      </c>
      <c r="AR33" s="266">
        <f t="shared" si="82"/>
        <v>0</v>
      </c>
      <c r="AU33" s="267" t="s">
        <v>276</v>
      </c>
      <c r="AV33" s="268"/>
      <c r="AW33" s="269">
        <f t="shared" ref="AW33:CF33" si="83">SUM(AW11+AW31)</f>
        <v>2210959.29</v>
      </c>
      <c r="AX33" s="269">
        <f t="shared" si="83"/>
        <v>140759.37</v>
      </c>
      <c r="AY33" s="269">
        <f t="shared" si="83"/>
        <v>2351718.66</v>
      </c>
      <c r="AZ33" s="269">
        <f t="shared" si="83"/>
        <v>13517410.289999999</v>
      </c>
      <c r="BA33" s="269">
        <f t="shared" si="83"/>
        <v>5982055.1459999997</v>
      </c>
      <c r="BB33" s="269">
        <f t="shared" si="83"/>
        <v>19499465.436000001</v>
      </c>
      <c r="BC33" s="269">
        <f t="shared" si="83"/>
        <v>21613972.289999999</v>
      </c>
      <c r="BD33" s="269">
        <f t="shared" si="83"/>
        <v>7403566.8799999999</v>
      </c>
      <c r="BE33" s="269">
        <f t="shared" si="83"/>
        <v>29017539.170000002</v>
      </c>
      <c r="BF33" s="269">
        <f t="shared" si="83"/>
        <v>20562440.079999998</v>
      </c>
      <c r="BG33" s="269">
        <f t="shared" si="83"/>
        <v>6646190</v>
      </c>
      <c r="BH33" s="269">
        <f t="shared" si="83"/>
        <v>27208630.079999998</v>
      </c>
      <c r="BI33" s="269">
        <f t="shared" si="83"/>
        <v>18589726.16</v>
      </c>
      <c r="BJ33" s="269">
        <f t="shared" si="83"/>
        <v>5646989.6299999999</v>
      </c>
      <c r="BK33" s="269">
        <f t="shared" si="83"/>
        <v>24236715.789999999</v>
      </c>
      <c r="BL33" s="269">
        <f t="shared" si="83"/>
        <v>16646324.24</v>
      </c>
      <c r="BM33" s="269">
        <f t="shared" si="83"/>
        <v>4730160.55</v>
      </c>
      <c r="BN33" s="269">
        <f t="shared" si="83"/>
        <v>21376484.789999999</v>
      </c>
      <c r="BO33" s="269">
        <f t="shared" si="83"/>
        <v>14753917.32</v>
      </c>
      <c r="BP33" s="269">
        <f t="shared" si="83"/>
        <v>3895760.63</v>
      </c>
      <c r="BQ33" s="269">
        <f t="shared" si="83"/>
        <v>18649677.949999999</v>
      </c>
      <c r="BR33" s="269">
        <f t="shared" si="83"/>
        <v>12958328.4</v>
      </c>
      <c r="BS33" s="269">
        <f t="shared" si="83"/>
        <v>3142870.03</v>
      </c>
      <c r="BT33" s="269">
        <f t="shared" si="83"/>
        <v>16101198.430000002</v>
      </c>
      <c r="BU33" s="269">
        <f t="shared" si="83"/>
        <v>11183082.48</v>
      </c>
      <c r="BV33" s="269">
        <f t="shared" si="83"/>
        <v>2470641.5999999996</v>
      </c>
      <c r="BW33" s="269">
        <f t="shared" si="83"/>
        <v>13653724.08</v>
      </c>
      <c r="BX33" s="269">
        <f t="shared" si="83"/>
        <v>9407836.5600000005</v>
      </c>
      <c r="BY33" s="269">
        <f t="shared" si="83"/>
        <v>1880425.38</v>
      </c>
      <c r="BZ33" s="269">
        <f t="shared" si="83"/>
        <v>11288261.939999998</v>
      </c>
      <c r="CA33" s="269">
        <f t="shared" si="83"/>
        <v>7632590.6399999997</v>
      </c>
      <c r="CB33" s="269">
        <f t="shared" si="83"/>
        <v>1373697.48</v>
      </c>
      <c r="CC33" s="269">
        <f t="shared" si="83"/>
        <v>9006288.120000001</v>
      </c>
      <c r="CD33" s="269">
        <f t="shared" si="83"/>
        <v>5857344.7199999997</v>
      </c>
      <c r="CE33" s="269">
        <f t="shared" si="83"/>
        <v>952005.89</v>
      </c>
      <c r="CF33" s="269">
        <f t="shared" si="83"/>
        <v>6809350.6099999994</v>
      </c>
      <c r="CG33" s="269">
        <f t="shared" ref="CG33:CI33" si="84">SUM(CG11+CG31)</f>
        <v>4082098.8</v>
      </c>
      <c r="CH33" s="269">
        <f t="shared" si="84"/>
        <v>616979.51</v>
      </c>
      <c r="CI33" s="269">
        <f t="shared" si="84"/>
        <v>4699078.3099999996</v>
      </c>
      <c r="CJ33" s="269">
        <f t="shared" ref="CJ33:CX33" si="85">SUM(CJ11+CJ31)</f>
        <v>2307694.88</v>
      </c>
      <c r="CK33" s="269">
        <f t="shared" si="85"/>
        <v>370329</v>
      </c>
      <c r="CL33" s="269">
        <f t="shared" si="85"/>
        <v>2678023.88</v>
      </c>
      <c r="CM33" s="269">
        <f t="shared" si="85"/>
        <v>1153848.96</v>
      </c>
      <c r="CN33" s="269">
        <f t="shared" si="85"/>
        <v>209791</v>
      </c>
      <c r="CO33" s="269">
        <f t="shared" si="85"/>
        <v>1363639.96</v>
      </c>
      <c r="CP33" s="269">
        <f t="shared" si="85"/>
        <v>0</v>
      </c>
      <c r="CQ33" s="269">
        <f t="shared" si="85"/>
        <v>93207</v>
      </c>
      <c r="CR33" s="269">
        <f t="shared" si="85"/>
        <v>93207</v>
      </c>
      <c r="CS33" s="269">
        <f t="shared" si="85"/>
        <v>0</v>
      </c>
      <c r="CT33" s="269">
        <f t="shared" si="85"/>
        <v>191517</v>
      </c>
      <c r="CU33" s="269">
        <f t="shared" si="85"/>
        <v>191517</v>
      </c>
      <c r="CV33" s="269">
        <f t="shared" si="85"/>
        <v>0</v>
      </c>
      <c r="CW33" s="269">
        <f t="shared" si="85"/>
        <v>168942</v>
      </c>
      <c r="CX33" s="269">
        <f t="shared" si="85"/>
        <v>168942</v>
      </c>
    </row>
    <row r="34" spans="1:102" ht="13.5" thickBot="1">
      <c r="A34" s="1536" t="s">
        <v>277</v>
      </c>
      <c r="B34" s="1537"/>
      <c r="C34" s="1516">
        <f>SUM(C33,D33)</f>
        <v>785707.69</v>
      </c>
      <c r="D34" s="1516"/>
      <c r="E34" s="270"/>
      <c r="F34" s="270">
        <f>E33+F33</f>
        <v>3127150.2</v>
      </c>
      <c r="G34" s="1516">
        <f>SUM(G33,H33)</f>
        <v>775431.54</v>
      </c>
      <c r="H34" s="1516"/>
      <c r="I34" s="1516">
        <f>SUM(I33,J33)</f>
        <v>997954.17999999993</v>
      </c>
      <c r="J34" s="1516"/>
      <c r="K34" s="1516">
        <f>SUM(K33,L33)</f>
        <v>1374281.8160000001</v>
      </c>
      <c r="L34" s="1516"/>
      <c r="M34" s="1516">
        <f>SUM(M33,N33)</f>
        <v>2554590.66</v>
      </c>
      <c r="N34" s="1516"/>
      <c r="O34" s="1516">
        <f>SUM(O33,P33)</f>
        <v>2926675.29</v>
      </c>
      <c r="P34" s="1522"/>
      <c r="Q34" s="1516">
        <f>SUM(Q33,R33)</f>
        <v>2813350</v>
      </c>
      <c r="R34" s="1516"/>
      <c r="S34" s="270"/>
      <c r="T34" s="270"/>
      <c r="U34" s="1516">
        <f>SUM(U33,V33)</f>
        <v>2498096.52</v>
      </c>
      <c r="V34" s="1522"/>
      <c r="W34" s="1516">
        <f>SUM(W33,X33)</f>
        <v>2395222.3499999996</v>
      </c>
      <c r="X34" s="1516"/>
      <c r="Y34" s="1516">
        <f>SUM(Y33,Z33)</f>
        <v>2311255.1399999997</v>
      </c>
      <c r="Z34" s="1516"/>
      <c r="AA34" s="1516">
        <f>SUM(AA33,AB33)</f>
        <v>2225726.8199999998</v>
      </c>
      <c r="AB34" s="1522"/>
      <c r="AC34" s="1516">
        <f>SUM(AC33,AD33)</f>
        <v>2138555.5099999998</v>
      </c>
      <c r="AD34" s="1516"/>
      <c r="AE34" s="1521">
        <f>SUM(AE33,AF33)</f>
        <v>2049658.2999999998</v>
      </c>
      <c r="AF34" s="1522"/>
      <c r="AG34" s="1516">
        <f>SUM(AG33,AH33)</f>
        <v>1958105.43</v>
      </c>
      <c r="AH34" s="1523"/>
      <c r="AI34" s="1516">
        <f>SUM(AI33,AJ33)</f>
        <v>1248988.92</v>
      </c>
      <c r="AJ34" s="1523"/>
      <c r="AK34" s="1516">
        <f>SUM(AK33,AL33)</f>
        <v>1202480.96</v>
      </c>
      <c r="AL34" s="1523"/>
      <c r="AM34" s="1516">
        <f>SUM(AM33,AN33)</f>
        <v>0</v>
      </c>
      <c r="AN34" s="1523"/>
      <c r="AO34" s="1516">
        <f>SUM(AO33,AP33)</f>
        <v>0</v>
      </c>
      <c r="AP34" s="1523"/>
      <c r="AQ34" s="1516">
        <f>SUM(AQ33,AR33)</f>
        <v>0</v>
      </c>
      <c r="AR34" s="1523"/>
      <c r="AU34" s="271"/>
      <c r="AV34" s="271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</row>
    <row r="35" spans="1:102" ht="27" customHeight="1">
      <c r="A35" s="217" t="s">
        <v>278</v>
      </c>
      <c r="B35" s="230" t="s">
        <v>279</v>
      </c>
      <c r="C35" s="273" t="s">
        <v>267</v>
      </c>
      <c r="D35" s="274" t="s">
        <v>268</v>
      </c>
      <c r="E35" s="273" t="s">
        <v>267</v>
      </c>
      <c r="F35" s="274" t="s">
        <v>268</v>
      </c>
      <c r="G35" s="273" t="s">
        <v>267</v>
      </c>
      <c r="H35" s="274" t="s">
        <v>268</v>
      </c>
      <c r="I35" s="273" t="s">
        <v>267</v>
      </c>
      <c r="J35" s="274" t="s">
        <v>268</v>
      </c>
      <c r="K35" s="273" t="s">
        <v>267</v>
      </c>
      <c r="L35" s="274" t="s">
        <v>268</v>
      </c>
      <c r="M35" s="273" t="s">
        <v>267</v>
      </c>
      <c r="N35" s="274" t="s">
        <v>268</v>
      </c>
      <c r="O35" s="273" t="s">
        <v>267</v>
      </c>
      <c r="P35" s="274" t="s">
        <v>268</v>
      </c>
      <c r="Q35" s="273" t="s">
        <v>267</v>
      </c>
      <c r="R35" s="274" t="s">
        <v>268</v>
      </c>
      <c r="S35" s="273" t="s">
        <v>267</v>
      </c>
      <c r="T35" s="274" t="s">
        <v>268</v>
      </c>
      <c r="U35" s="273" t="s">
        <v>267</v>
      </c>
      <c r="V35" s="274" t="s">
        <v>268</v>
      </c>
      <c r="W35" s="273" t="s">
        <v>267</v>
      </c>
      <c r="X35" s="274" t="s">
        <v>268</v>
      </c>
      <c r="Y35" s="273" t="s">
        <v>267</v>
      </c>
      <c r="Z35" s="274" t="s">
        <v>268</v>
      </c>
      <c r="AA35" s="273" t="s">
        <v>267</v>
      </c>
      <c r="AB35" s="274" t="s">
        <v>268</v>
      </c>
      <c r="AC35" s="273" t="s">
        <v>267</v>
      </c>
      <c r="AD35" s="274" t="s">
        <v>268</v>
      </c>
      <c r="AE35" s="273" t="s">
        <v>267</v>
      </c>
      <c r="AF35" s="274" t="s">
        <v>268</v>
      </c>
      <c r="AG35" s="273" t="s">
        <v>267</v>
      </c>
      <c r="AH35" s="274" t="s">
        <v>268</v>
      </c>
      <c r="AI35" s="273" t="s">
        <v>267</v>
      </c>
      <c r="AJ35" s="274" t="s">
        <v>268</v>
      </c>
      <c r="AK35" s="273" t="s">
        <v>267</v>
      </c>
      <c r="AL35" s="274" t="s">
        <v>268</v>
      </c>
      <c r="AM35" s="273" t="s">
        <v>267</v>
      </c>
      <c r="AN35" s="274" t="s">
        <v>268</v>
      </c>
      <c r="AO35" s="273" t="s">
        <v>267</v>
      </c>
      <c r="AP35" s="274" t="s">
        <v>268</v>
      </c>
      <c r="AQ35" s="273" t="s">
        <v>267</v>
      </c>
      <c r="AR35" s="274" t="s">
        <v>268</v>
      </c>
      <c r="AU35" s="233" t="s">
        <v>278</v>
      </c>
      <c r="AV35" s="275"/>
      <c r="AW35" s="235" t="s">
        <v>267</v>
      </c>
      <c r="AX35" s="236" t="s">
        <v>268</v>
      </c>
      <c r="AY35" s="237" t="s">
        <v>269</v>
      </c>
      <c r="AZ35" s="276" t="s">
        <v>267</v>
      </c>
      <c r="BA35" s="236" t="s">
        <v>268</v>
      </c>
      <c r="BB35" s="237" t="s">
        <v>269</v>
      </c>
      <c r="BC35" s="235" t="s">
        <v>267</v>
      </c>
      <c r="BD35" s="236" t="s">
        <v>268</v>
      </c>
      <c r="BE35" s="237" t="s">
        <v>269</v>
      </c>
      <c r="BF35" s="235" t="s">
        <v>267</v>
      </c>
      <c r="BG35" s="236" t="s">
        <v>268</v>
      </c>
      <c r="BH35" s="237" t="s">
        <v>269</v>
      </c>
      <c r="BI35" s="235" t="s">
        <v>267</v>
      </c>
      <c r="BJ35" s="236" t="s">
        <v>268</v>
      </c>
      <c r="BK35" s="237" t="s">
        <v>269</v>
      </c>
      <c r="BL35" s="235" t="s">
        <v>267</v>
      </c>
      <c r="BM35" s="236" t="s">
        <v>268</v>
      </c>
      <c r="BN35" s="237" t="s">
        <v>269</v>
      </c>
      <c r="BO35" s="235" t="s">
        <v>267</v>
      </c>
      <c r="BP35" s="236" t="s">
        <v>268</v>
      </c>
      <c r="BQ35" s="237" t="s">
        <v>269</v>
      </c>
      <c r="BR35" s="235" t="s">
        <v>267</v>
      </c>
      <c r="BS35" s="236" t="s">
        <v>268</v>
      </c>
      <c r="BT35" s="237" t="s">
        <v>269</v>
      </c>
      <c r="BU35" s="235" t="s">
        <v>267</v>
      </c>
      <c r="BV35" s="236" t="s">
        <v>268</v>
      </c>
      <c r="BW35" s="237" t="s">
        <v>269</v>
      </c>
      <c r="BX35" s="235" t="s">
        <v>267</v>
      </c>
      <c r="BY35" s="236" t="s">
        <v>268</v>
      </c>
      <c r="BZ35" s="237" t="s">
        <v>269</v>
      </c>
      <c r="CA35" s="235" t="s">
        <v>267</v>
      </c>
      <c r="CB35" s="236" t="s">
        <v>268</v>
      </c>
      <c r="CC35" s="237" t="s">
        <v>269</v>
      </c>
      <c r="CD35" s="235" t="s">
        <v>267</v>
      </c>
      <c r="CE35" s="236" t="s">
        <v>268</v>
      </c>
      <c r="CF35" s="237" t="s">
        <v>269</v>
      </c>
      <c r="CG35" s="235" t="s">
        <v>267</v>
      </c>
      <c r="CH35" s="236" t="s">
        <v>268</v>
      </c>
      <c r="CI35" s="237" t="s">
        <v>269</v>
      </c>
      <c r="CJ35" s="235" t="s">
        <v>267</v>
      </c>
      <c r="CK35" s="236" t="s">
        <v>268</v>
      </c>
      <c r="CL35" s="237" t="s">
        <v>269</v>
      </c>
      <c r="CM35" s="235" t="s">
        <v>267</v>
      </c>
      <c r="CN35" s="236" t="s">
        <v>268</v>
      </c>
      <c r="CO35" s="237" t="s">
        <v>269</v>
      </c>
      <c r="CP35" s="235" t="s">
        <v>267</v>
      </c>
      <c r="CQ35" s="236" t="s">
        <v>268</v>
      </c>
      <c r="CR35" s="237" t="s">
        <v>269</v>
      </c>
      <c r="CS35" s="235" t="s">
        <v>267</v>
      </c>
      <c r="CT35" s="236" t="s">
        <v>268</v>
      </c>
      <c r="CU35" s="237" t="s">
        <v>269</v>
      </c>
      <c r="CV35" s="235" t="s">
        <v>267</v>
      </c>
      <c r="CW35" s="236" t="s">
        <v>268</v>
      </c>
      <c r="CX35" s="237" t="s">
        <v>269</v>
      </c>
    </row>
    <row r="36" spans="1:102" ht="12.75">
      <c r="A36" s="277" t="s">
        <v>280</v>
      </c>
      <c r="B36" s="278">
        <v>12850000</v>
      </c>
      <c r="C36" s="279">
        <v>3550000</v>
      </c>
      <c r="D36" s="280">
        <v>273481.8</v>
      </c>
      <c r="E36" s="281">
        <f t="shared" ref="E36:F40" si="86">G36+I36+K36+M36+O36+Q36+S36+U36+W36+Y36+AA36+AC36+AE36+AG36</f>
        <v>6300000</v>
      </c>
      <c r="F36" s="282">
        <f t="shared" si="86"/>
        <v>134304.51999999999</v>
      </c>
      <c r="G36" s="279">
        <v>6300000</v>
      </c>
      <c r="H36" s="280">
        <v>134304.51999999999</v>
      </c>
      <c r="I36" s="279"/>
      <c r="J36" s="280"/>
      <c r="K36" s="279"/>
      <c r="L36" s="280"/>
      <c r="M36" s="279"/>
      <c r="N36" s="280"/>
      <c r="O36" s="279"/>
      <c r="P36" s="280"/>
      <c r="Q36" s="283"/>
      <c r="R36" s="280"/>
      <c r="S36" s="279"/>
      <c r="T36" s="280"/>
      <c r="U36" s="279"/>
      <c r="V36" s="280"/>
      <c r="W36" s="279"/>
      <c r="X36" s="280"/>
      <c r="Y36" s="279"/>
      <c r="Z36" s="280"/>
      <c r="AA36" s="279"/>
      <c r="AB36" s="280"/>
      <c r="AC36" s="279"/>
      <c r="AD36" s="280"/>
      <c r="AE36" s="279"/>
      <c r="AF36" s="280"/>
      <c r="AG36" s="279"/>
      <c r="AH36" s="280"/>
      <c r="AI36" s="279"/>
      <c r="AJ36" s="280"/>
      <c r="AK36" s="279"/>
      <c r="AL36" s="280"/>
      <c r="AM36" s="279"/>
      <c r="AN36" s="280"/>
      <c r="AO36" s="279"/>
      <c r="AP36" s="280"/>
      <c r="AQ36" s="279"/>
      <c r="AR36" s="280"/>
      <c r="AU36" s="277" t="str">
        <f t="shared" ref="AU36:AV54" si="87">A36</f>
        <v xml:space="preserve">BOŚ </v>
      </c>
      <c r="AV36" s="278">
        <f t="shared" si="87"/>
        <v>12850000</v>
      </c>
      <c r="AW36" s="284">
        <f>SUM($I36,$K36,$M36,$O36,$Q36,$S36,$U36,$W36,$Y36,$AA36,$AC36,$AE36,$AG36)</f>
        <v>0</v>
      </c>
      <c r="AX36" s="285">
        <f>SUM($J36,$L36,$N36,$P36,$R36,$T36,$V36,$X36,$Z36,$AB36,$AD36,$AF36,$AH36)</f>
        <v>0</v>
      </c>
      <c r="AY36" s="280">
        <f>SUM(AW36,AX36)</f>
        <v>0</v>
      </c>
      <c r="AZ36" s="286">
        <f>SUM($K36,$M36,$O36,$Q36,$S36,$U36,$W36,$Y36,$AA36,$AC36,$AE36,$AG36)</f>
        <v>0</v>
      </c>
      <c r="BA36" s="287">
        <f>SUM($L36,$N36,$P36,$R36,$T36,$V36,$X36,$Z36,$AB36,$AD36,$AF36,$AH36)</f>
        <v>0</v>
      </c>
      <c r="BB36" s="280">
        <f>SUM(AZ36,BA36)</f>
        <v>0</v>
      </c>
      <c r="BC36" s="213">
        <f>SUM($M36,$O36,$Q36,$S36,$U36,$W36,$Y36,$AA36,$AC36,$AE36,$AG36)</f>
        <v>0</v>
      </c>
      <c r="BD36" s="287">
        <f>SUM($N36,$P36,$R36,$T36,$V36,$X36,$Z36,$AB36,$AD36,$AF36,$AH36)</f>
        <v>0</v>
      </c>
      <c r="BE36" s="280">
        <f>SUM(BC36,BD36)</f>
        <v>0</v>
      </c>
      <c r="BF36" s="213">
        <f>SUM($O36,$Q36,$S36,$U36,$W36,$Y36,$AA36,$AC36,$AE36,$AG36)</f>
        <v>0</v>
      </c>
      <c r="BG36" s="287">
        <f>SUM($P36,$R36,$T36,$V36,$X36,$Z36,$AB36,$AD36,$AF36,$AH36)</f>
        <v>0</v>
      </c>
      <c r="BH36" s="280">
        <f>SUM(BF36,BG36)</f>
        <v>0</v>
      </c>
      <c r="BI36" s="213">
        <f>SUM($Q36,$S36,$U36,$W36,$Y36,$AA36,$AC36,$AE36,$AG36)</f>
        <v>0</v>
      </c>
      <c r="BJ36" s="287">
        <f>SUM($R36,$T36,$V36,$X36,$Z36,$AB36,$AD36,$AF36,$AH36)</f>
        <v>0</v>
      </c>
      <c r="BK36" s="280">
        <f>SUM(BI36,BJ36)</f>
        <v>0</v>
      </c>
      <c r="BL36" s="213">
        <f>SUM($S36,$U36,$W36,$Y36,$AA36,$AC36,$AE36,$AG36)</f>
        <v>0</v>
      </c>
      <c r="BM36" s="287">
        <f>SUM($T36,$V36,$X36,$Z36,$AB36,$AD36,$AF36,$AH36)</f>
        <v>0</v>
      </c>
      <c r="BN36" s="280">
        <f>SUM(BL36,BM36)</f>
        <v>0</v>
      </c>
      <c r="BO36" s="213">
        <f>SUM($U36,$W36,$Y36,$AA36,$AC36,$AE36,$AG36)</f>
        <v>0</v>
      </c>
      <c r="BP36" s="287">
        <f>SUM($V36,$X36,$Z36,$AB36,$AD36,$AF36,$AH36)</f>
        <v>0</v>
      </c>
      <c r="BQ36" s="280">
        <f>SUM(BO36,BP36)</f>
        <v>0</v>
      </c>
      <c r="BR36" s="213">
        <f>SUM($W36,$Y36,$AA36,$AC36,$AE36,$AG36)</f>
        <v>0</v>
      </c>
      <c r="BS36" s="287">
        <f>SUM($X36,$Z36,$AB36,$AD36,$AF36,$AH36)</f>
        <v>0</v>
      </c>
      <c r="BT36" s="280">
        <f>SUM(BR36,BS36)</f>
        <v>0</v>
      </c>
      <c r="BU36" s="213">
        <f>SUM($Y36,$AA36,$AC36,$AE36,$AG36)</f>
        <v>0</v>
      </c>
      <c r="BV36" s="287">
        <f>SUM($Z36,$AB36,$AD36,$AF36,$AH36)</f>
        <v>0</v>
      </c>
      <c r="BW36" s="280">
        <f>SUM(BU36,BV36)</f>
        <v>0</v>
      </c>
      <c r="BX36" s="213">
        <f>SUM($AA36,$AC36,$AE36,$AG36)</f>
        <v>0</v>
      </c>
      <c r="BY36" s="287">
        <f>SUM($AB36,$AD36,$AF36,$AH36)</f>
        <v>0</v>
      </c>
      <c r="BZ36" s="280">
        <f>SUM(BX36,BY36)</f>
        <v>0</v>
      </c>
      <c r="CA36" s="287">
        <f>SUM($AC36,$AE36,$AG36)</f>
        <v>0</v>
      </c>
      <c r="CB36" s="287">
        <f>SUM($AD36,$AF36,$AH36)</f>
        <v>0</v>
      </c>
      <c r="CC36" s="280">
        <f>SUM(CA36,CB36)</f>
        <v>0</v>
      </c>
      <c r="CD36" s="287">
        <f>SUM($AE36,$AG36)</f>
        <v>0</v>
      </c>
      <c r="CE36" s="287">
        <f>SUM($AF36,$AH36)</f>
        <v>0</v>
      </c>
      <c r="CF36" s="280">
        <f>SUM(CD36,CE36)</f>
        <v>0</v>
      </c>
      <c r="CG36" s="287">
        <f>SUM($AE36,$AG36)</f>
        <v>0</v>
      </c>
      <c r="CH36" s="287">
        <f>SUM($AF36,$AH36)</f>
        <v>0</v>
      </c>
      <c r="CI36" s="280">
        <f>SUM(CG36,CH36)</f>
        <v>0</v>
      </c>
      <c r="CJ36" s="287">
        <f>SUM($AE36,$AG36)</f>
        <v>0</v>
      </c>
      <c r="CK36" s="287">
        <f>SUM($AF36,$AH36)</f>
        <v>0</v>
      </c>
      <c r="CL36" s="280">
        <f>SUM(CJ36,CK36)</f>
        <v>0</v>
      </c>
      <c r="CM36" s="287">
        <f>SUM($AE36,$AG36)</f>
        <v>0</v>
      </c>
      <c r="CN36" s="287">
        <f>SUM($AF36,$AH36)</f>
        <v>0</v>
      </c>
      <c r="CO36" s="280">
        <f>SUM(CM36,CN36)</f>
        <v>0</v>
      </c>
      <c r="CP36" s="287">
        <f>SUM($AE36,$AG36)</f>
        <v>0</v>
      </c>
      <c r="CQ36" s="287">
        <f>SUM($AF36,$AH36)</f>
        <v>0</v>
      </c>
      <c r="CR36" s="280">
        <f>SUM(CP36,CQ36)</f>
        <v>0</v>
      </c>
      <c r="CS36" s="287">
        <f>SUM($AE36,$AG36)</f>
        <v>0</v>
      </c>
      <c r="CT36" s="287">
        <f>SUM($AF36,$AH36)</f>
        <v>0</v>
      </c>
      <c r="CU36" s="280">
        <f>SUM(CS36,CT36)</f>
        <v>0</v>
      </c>
      <c r="CV36" s="287">
        <f>SUM($AE36,$AG36)</f>
        <v>0</v>
      </c>
      <c r="CW36" s="287">
        <f>SUM($AF36,$AH36)</f>
        <v>0</v>
      </c>
      <c r="CX36" s="280">
        <f>SUM(CV36,CW36)</f>
        <v>0</v>
      </c>
    </row>
    <row r="37" spans="1:102" ht="12.75">
      <c r="A37" s="277" t="s">
        <v>225</v>
      </c>
      <c r="B37" s="278">
        <v>2000000</v>
      </c>
      <c r="C37" s="418">
        <v>0</v>
      </c>
      <c r="D37" s="419">
        <v>73091</v>
      </c>
      <c r="E37" s="281">
        <f t="shared" si="86"/>
        <v>2000000</v>
      </c>
      <c r="F37" s="282">
        <f t="shared" si="86"/>
        <v>196181.84</v>
      </c>
      <c r="G37" s="279"/>
      <c r="H37" s="280">
        <v>73090.92</v>
      </c>
      <c r="I37" s="279">
        <v>2000000</v>
      </c>
      <c r="J37" s="280">
        <f>73090.92+50000</f>
        <v>123090.92</v>
      </c>
      <c r="K37" s="279"/>
      <c r="L37" s="280"/>
      <c r="M37" s="279"/>
      <c r="N37" s="280"/>
      <c r="O37" s="279"/>
      <c r="P37" s="280"/>
      <c r="Q37" s="283"/>
      <c r="R37" s="280"/>
      <c r="S37" s="279"/>
      <c r="T37" s="280"/>
      <c r="U37" s="279"/>
      <c r="V37" s="280"/>
      <c r="W37" s="279"/>
      <c r="X37" s="280"/>
      <c r="Y37" s="279"/>
      <c r="Z37" s="280"/>
      <c r="AA37" s="279"/>
      <c r="AB37" s="280"/>
      <c r="AC37" s="279"/>
      <c r="AD37" s="280"/>
      <c r="AE37" s="279"/>
      <c r="AF37" s="280"/>
      <c r="AG37" s="279"/>
      <c r="AH37" s="280"/>
      <c r="AI37" s="279"/>
      <c r="AJ37" s="280"/>
      <c r="AK37" s="279"/>
      <c r="AL37" s="280"/>
      <c r="AM37" s="279"/>
      <c r="AN37" s="280"/>
      <c r="AO37" s="279"/>
      <c r="AP37" s="280"/>
      <c r="AQ37" s="279"/>
      <c r="AR37" s="280"/>
      <c r="AU37" s="277" t="str">
        <f t="shared" si="87"/>
        <v>BOŚ Bank</v>
      </c>
      <c r="AV37" s="278"/>
      <c r="AW37" s="284">
        <f>SUM($I37,$K37,$M37,$O37,$Q37,$S37,$U37,$W37,$Y37,$AA37,$AC37,$AE37,$AG37)</f>
        <v>2000000</v>
      </c>
      <c r="AX37" s="285">
        <f>SUM($J37,$L37,$N37,$P37,$R37,$T37,$V37,$X37,$Z37,$AB37,$AD37,$AF37,$AH37)</f>
        <v>123090.92</v>
      </c>
      <c r="AY37" s="280">
        <f t="shared" ref="AY37:AY40" si="88">SUM(AW37,AX37)</f>
        <v>2123090.92</v>
      </c>
      <c r="AZ37" s="286">
        <f>SUM($K37,$M37,$O37,$Q37,$S37,$U37,$W37,$Y37,$AA37,$AC37,$AE37,$AG37)</f>
        <v>0</v>
      </c>
      <c r="BA37" s="287">
        <f>SUM($L37,$N37,$P37,$R37,$T37,$V37,$X37,$Z37,$AB37,$AD37,$AF37,$AH37)</f>
        <v>0</v>
      </c>
      <c r="BB37" s="280">
        <f>SUM(AZ37,BA37)</f>
        <v>0</v>
      </c>
      <c r="BC37" s="213">
        <f>SUM($M37,$O37,$Q37,$S37,$U37,$W37,$Y37,$AA37,$AC37,$AE37,$AG37)</f>
        <v>0</v>
      </c>
      <c r="BD37" s="287">
        <f>SUM($N37,$P37,$R37,$T37,$V37,$X37,$Z37,$AB37,$AD37,$AF37,$AH37)</f>
        <v>0</v>
      </c>
      <c r="BE37" s="280">
        <f>SUM(BC37,BD37)</f>
        <v>0</v>
      </c>
      <c r="BF37" s="213">
        <f>SUM($O37,$Q37,$S37,$U37,$W37,$Y37,$AA37,$AC37,$AE37,$AG37)</f>
        <v>0</v>
      </c>
      <c r="BG37" s="287">
        <f>SUM($P37,$R37,$T37,$V37,$X37,$Z37,$AB37,$AD37,$AF37,$AH37)</f>
        <v>0</v>
      </c>
      <c r="BH37" s="280">
        <f>SUM(BF37,BG37)</f>
        <v>0</v>
      </c>
      <c r="BI37" s="213">
        <f>SUM($Q37,$S37,$U37,$W37,$Y37,$AA37,$AC37,$AE37,$AG37)</f>
        <v>0</v>
      </c>
      <c r="BJ37" s="287">
        <f>SUM($R37,$T37,$V37,$X37,$Z37,$AB37,$AD37,$AF37,$AH37)</f>
        <v>0</v>
      </c>
      <c r="BK37" s="280">
        <f>SUM(BI37,BJ37)</f>
        <v>0</v>
      </c>
      <c r="BL37" s="213">
        <f>SUM($S37,$U37,$W37,$Y37,$AA37,$AC37,$AE37,$AG37)</f>
        <v>0</v>
      </c>
      <c r="BM37" s="287">
        <f>SUM($T37,$V37,$X37,$Z37,$AB37,$AD37,$AF37,$AH37)</f>
        <v>0</v>
      </c>
      <c r="BN37" s="280">
        <f>SUM(BL37,BM37)</f>
        <v>0</v>
      </c>
      <c r="BO37" s="213">
        <f>SUM($U37,$W37,$Y37,$AA37,$AC37,$AE37,$AG37)</f>
        <v>0</v>
      </c>
      <c r="BP37" s="287">
        <f>SUM($V37,$X37,$Z37,$AB37,$AD37,$AF37,$AH37)</f>
        <v>0</v>
      </c>
      <c r="BQ37" s="280">
        <f>SUM(BO37,BP37)</f>
        <v>0</v>
      </c>
      <c r="BR37" s="213">
        <f>SUM($W37,$Y37,$AA37,$AC37,$AE37,$AG37)</f>
        <v>0</v>
      </c>
      <c r="BS37" s="287">
        <f>SUM($X37,$Z37,$AB37,$AD37,$AF37,$AH37)</f>
        <v>0</v>
      </c>
      <c r="BT37" s="280">
        <f>SUM(BR37,BS37)</f>
        <v>0</v>
      </c>
      <c r="BU37" s="213">
        <f>SUM($Y37,$AA37,$AC37,$AE37,$AG37)</f>
        <v>0</v>
      </c>
      <c r="BV37" s="287">
        <f>SUM($Z37,$AB37,$AD37,$AF37,$AH37)</f>
        <v>0</v>
      </c>
      <c r="BW37" s="280">
        <f>SUM(BU37,BV37)</f>
        <v>0</v>
      </c>
      <c r="BX37" s="213">
        <f>SUM($AA37,$AC37,$AE37,$AG37)</f>
        <v>0</v>
      </c>
      <c r="BY37" s="287">
        <f>SUM($AB37,$AD37,$AF37,$AH37)</f>
        <v>0</v>
      </c>
      <c r="BZ37" s="280">
        <f>SUM(BX37,BY37)</f>
        <v>0</v>
      </c>
      <c r="CA37" s="287">
        <f>SUM($AC37,$AE37,$AG37)</f>
        <v>0</v>
      </c>
      <c r="CB37" s="287">
        <f>SUM($AD37,$AF37,$AH37)</f>
        <v>0</v>
      </c>
      <c r="CC37" s="280">
        <f>SUM(CA37,CB37)</f>
        <v>0</v>
      </c>
      <c r="CD37" s="287">
        <f>SUM($AE37,$AG37)</f>
        <v>0</v>
      </c>
      <c r="CE37" s="287">
        <f>SUM($AF37,$AH37)</f>
        <v>0</v>
      </c>
      <c r="CF37" s="280">
        <f>SUM(CD37,CE37)</f>
        <v>0</v>
      </c>
      <c r="CG37" s="287">
        <f>SUM($AE37,$AG37)</f>
        <v>0</v>
      </c>
      <c r="CH37" s="287">
        <f>SUM($AF37,$AH37)</f>
        <v>0</v>
      </c>
      <c r="CI37" s="280">
        <f>SUM(CG37,CH37)</f>
        <v>0</v>
      </c>
      <c r="CJ37" s="287">
        <f>SUM($AE37,$AG37)</f>
        <v>0</v>
      </c>
      <c r="CK37" s="287">
        <f>SUM($AF37,$AH37)</f>
        <v>0</v>
      </c>
      <c r="CL37" s="280">
        <f>SUM(CJ37,CK37)</f>
        <v>0</v>
      </c>
      <c r="CM37" s="287">
        <f>SUM($AE37,$AG37)</f>
        <v>0</v>
      </c>
      <c r="CN37" s="287">
        <f>SUM($AF37,$AH37)</f>
        <v>0</v>
      </c>
      <c r="CO37" s="280">
        <f>SUM(CM37,CN37)</f>
        <v>0</v>
      </c>
      <c r="CP37" s="287">
        <f>SUM($AE37,$AG37)</f>
        <v>0</v>
      </c>
      <c r="CQ37" s="287">
        <f>SUM($AF37,$AH37)</f>
        <v>0</v>
      </c>
      <c r="CR37" s="280">
        <f>SUM(CP37,CQ37)</f>
        <v>0</v>
      </c>
      <c r="CS37" s="287">
        <f>SUM($AE37,$AG37)</f>
        <v>0</v>
      </c>
      <c r="CT37" s="287">
        <f>SUM($AF37,$AH37)</f>
        <v>0</v>
      </c>
      <c r="CU37" s="280">
        <f>SUM(CS37,CT37)</f>
        <v>0</v>
      </c>
      <c r="CV37" s="287">
        <f>SUM($AE37,$AG37)</f>
        <v>0</v>
      </c>
      <c r="CW37" s="287">
        <f>SUM($AF37,$AH37)</f>
        <v>0</v>
      </c>
      <c r="CX37" s="280">
        <f>SUM(CV37,CW37)</f>
        <v>0</v>
      </c>
    </row>
    <row r="38" spans="1:102" ht="12.75">
      <c r="A38" s="277" t="s">
        <v>281</v>
      </c>
      <c r="B38" s="278">
        <v>8900000</v>
      </c>
      <c r="C38" s="418">
        <v>0</v>
      </c>
      <c r="D38" s="419">
        <v>559244</v>
      </c>
      <c r="E38" s="281">
        <f t="shared" si="86"/>
        <v>8900000</v>
      </c>
      <c r="F38" s="282">
        <f t="shared" si="86"/>
        <v>1468908.7100000002</v>
      </c>
      <c r="G38" s="279"/>
      <c r="H38" s="280">
        <v>559243.68000000005</v>
      </c>
      <c r="I38" s="279">
        <v>5000000</v>
      </c>
      <c r="J38" s="280">
        <f>527825+50000</f>
        <v>577825</v>
      </c>
      <c r="K38" s="279">
        <v>3000000</v>
      </c>
      <c r="L38" s="280">
        <v>280000</v>
      </c>
      <c r="M38" s="279">
        <f>900000</f>
        <v>900000</v>
      </c>
      <c r="N38" s="280">
        <v>51840.03</v>
      </c>
      <c r="O38" s="279"/>
      <c r="P38" s="280"/>
      <c r="Q38" s="283"/>
      <c r="R38" s="280"/>
      <c r="S38" s="279"/>
      <c r="T38" s="280"/>
      <c r="U38" s="279"/>
      <c r="V38" s="280"/>
      <c r="W38" s="279"/>
      <c r="X38" s="280"/>
      <c r="Y38" s="279"/>
      <c r="Z38" s="280"/>
      <c r="AA38" s="279"/>
      <c r="AB38" s="280"/>
      <c r="AC38" s="279"/>
      <c r="AD38" s="280"/>
      <c r="AE38" s="279"/>
      <c r="AF38" s="280"/>
      <c r="AG38" s="279"/>
      <c r="AH38" s="280"/>
      <c r="AI38" s="279"/>
      <c r="AJ38" s="280"/>
      <c r="AK38" s="279"/>
      <c r="AL38" s="280"/>
      <c r="AM38" s="279"/>
      <c r="AN38" s="280"/>
      <c r="AO38" s="279"/>
      <c r="AP38" s="280"/>
      <c r="AQ38" s="279"/>
      <c r="AR38" s="280"/>
      <c r="AU38" s="277" t="str">
        <f t="shared" si="87"/>
        <v>ING Bank</v>
      </c>
      <c r="AV38" s="278">
        <f t="shared" si="87"/>
        <v>8900000</v>
      </c>
      <c r="AW38" s="284">
        <f>SUM($I38,$K38,$M38,$O38,$Q38,$S38,$U38,$W38,$Y38,$AA38,$AC38,$AE38,$AG38)</f>
        <v>8900000</v>
      </c>
      <c r="AX38" s="285">
        <f>SUM($J38,$L38,$N38,$P38,$R38,$T38,$V38,$X38,$Z38,$AB38,$AD38,$AF38,$AH38)</f>
        <v>909665.03</v>
      </c>
      <c r="AY38" s="280">
        <f t="shared" si="88"/>
        <v>9809665.0299999993</v>
      </c>
      <c r="AZ38" s="286">
        <f>SUM($K38,$M38,$O38,$Q38,$S38,$U38,$W38,$Y38,$AA38,$AC38,$AE38,$AG38)</f>
        <v>3900000</v>
      </c>
      <c r="BA38" s="287">
        <f>SUM($L38,$N38,$P38,$R38,$T38,$V38,$X38,$Z38,$AB38,$AD38,$AF38,$AH38)</f>
        <v>331840.03000000003</v>
      </c>
      <c r="BB38" s="280">
        <f>SUM(AZ38,BA38)</f>
        <v>4231840.03</v>
      </c>
      <c r="BC38" s="213">
        <f>SUM($M38,$O38,$Q38,$S38,$U38,$W38,$Y38,$AA38,$AC38,$AE38,$AG38)</f>
        <v>900000</v>
      </c>
      <c r="BD38" s="287">
        <f>SUM($N38,$P38,$R38,$T38,$V38,$X38,$Z38,$AB38,$AD38,$AF38,$AH38)</f>
        <v>51840.03</v>
      </c>
      <c r="BE38" s="280">
        <f>SUM(BC38,BD38)</f>
        <v>951840.03</v>
      </c>
      <c r="BF38" s="213">
        <f>SUM($O38,$Q38,$S38,$U38,$W38,$Y38,$AA38,$AC38,$AE38,$AG38)</f>
        <v>0</v>
      </c>
      <c r="BG38" s="287">
        <f>SUM($P38,$R38,$T38,$V38,$X38,$Z38,$AB38,$AD38,$AF38,$AH38)</f>
        <v>0</v>
      </c>
      <c r="BH38" s="280">
        <f>SUM(BF38,BG38)</f>
        <v>0</v>
      </c>
      <c r="BI38" s="213">
        <f>SUM($Q38,$S38,$U38,$W38,$Y38,$AA38,$AC38,$AE38,$AG38)</f>
        <v>0</v>
      </c>
      <c r="BJ38" s="287">
        <f>SUM($R38,$T38,$V38,$X38,$Z38,$AB38,$AD38,$AF38,$AH38)</f>
        <v>0</v>
      </c>
      <c r="BK38" s="280">
        <f>SUM(BI38,BJ38)</f>
        <v>0</v>
      </c>
      <c r="BL38" s="213">
        <f>SUM($S38,$U38,$W38,$Y38,$AA38,$AC38,$AE38,$AG38)</f>
        <v>0</v>
      </c>
      <c r="BM38" s="287">
        <f>SUM($T38,$V38,$X38,$Z38,$AB38,$AD38,$AF38,$AH38)</f>
        <v>0</v>
      </c>
      <c r="BN38" s="280">
        <f>SUM(BL38,BM38)</f>
        <v>0</v>
      </c>
      <c r="BO38" s="213">
        <f>SUM($U38,$W38,$Y38,$AA38,$AC38,$AE38,$AG38)</f>
        <v>0</v>
      </c>
      <c r="BP38" s="287">
        <f>SUM($V38,$X38,$Z38,$AB38,$AD38,$AF38,$AH38)</f>
        <v>0</v>
      </c>
      <c r="BQ38" s="280">
        <f>SUM(BO38,BP38)</f>
        <v>0</v>
      </c>
      <c r="BR38" s="213">
        <f>SUM($W38,$Y38,$AA38,$AC38,$AE38,$AG38)</f>
        <v>0</v>
      </c>
      <c r="BS38" s="287">
        <f>SUM($X38,$Z38,$AB38,$AD38,$AF38,$AH38)</f>
        <v>0</v>
      </c>
      <c r="BT38" s="280">
        <f>SUM(BR38,BS38)</f>
        <v>0</v>
      </c>
      <c r="BU38" s="213">
        <f>SUM($Y38,$AA38,$AC38,$AE38,$AG38)</f>
        <v>0</v>
      </c>
      <c r="BV38" s="287">
        <f>SUM($Z38,$AB38,$AD38,$AF38,$AH38)</f>
        <v>0</v>
      </c>
      <c r="BW38" s="280">
        <f>SUM(BU38,BV38)</f>
        <v>0</v>
      </c>
      <c r="BX38" s="213">
        <f>SUM($AA38,$AC38,$AE38,$AG38)</f>
        <v>0</v>
      </c>
      <c r="BY38" s="287">
        <f>SUM($AB38,$AD38,$AF38,$AH38)</f>
        <v>0</v>
      </c>
      <c r="BZ38" s="280">
        <f>SUM(BX38,BY38)</f>
        <v>0</v>
      </c>
      <c r="CA38" s="287">
        <f>SUM($AC38,$AE38,$AG38)</f>
        <v>0</v>
      </c>
      <c r="CB38" s="287">
        <f>SUM($AD38,$AF38,$AH38)</f>
        <v>0</v>
      </c>
      <c r="CC38" s="280">
        <f>SUM(CA38,CB38)</f>
        <v>0</v>
      </c>
      <c r="CD38" s="287">
        <f>SUM($AE38,$AG38)</f>
        <v>0</v>
      </c>
      <c r="CE38" s="287">
        <f>SUM($AF38,$AH38)</f>
        <v>0</v>
      </c>
      <c r="CF38" s="280">
        <f>SUM(CD38,CE38)</f>
        <v>0</v>
      </c>
      <c r="CG38" s="287">
        <f>SUM($AE38,$AG38)</f>
        <v>0</v>
      </c>
      <c r="CH38" s="287">
        <f>SUM($AF38,$AH38)</f>
        <v>0</v>
      </c>
      <c r="CI38" s="280">
        <f>SUM(CG38,CH38)</f>
        <v>0</v>
      </c>
      <c r="CJ38" s="287">
        <f>SUM($AE38,$AG38)</f>
        <v>0</v>
      </c>
      <c r="CK38" s="287">
        <f>SUM($AF38,$AH38)</f>
        <v>0</v>
      </c>
      <c r="CL38" s="280">
        <f>SUM(CJ38,CK38)</f>
        <v>0</v>
      </c>
      <c r="CM38" s="287">
        <f>SUM($AE38,$AG38)</f>
        <v>0</v>
      </c>
      <c r="CN38" s="287">
        <f>SUM($AF38,$AH38)</f>
        <v>0</v>
      </c>
      <c r="CO38" s="280">
        <f>SUM(CM38,CN38)</f>
        <v>0</v>
      </c>
      <c r="CP38" s="287">
        <f>SUM($AE38,$AG38)</f>
        <v>0</v>
      </c>
      <c r="CQ38" s="287">
        <f>SUM($AF38,$AH38)</f>
        <v>0</v>
      </c>
      <c r="CR38" s="280">
        <f>SUM(CP38,CQ38)</f>
        <v>0</v>
      </c>
      <c r="CS38" s="287">
        <f>SUM($AE38,$AG38)</f>
        <v>0</v>
      </c>
      <c r="CT38" s="287">
        <f>SUM($AF38,$AH38)</f>
        <v>0</v>
      </c>
      <c r="CU38" s="280">
        <f>SUM(CS38,CT38)</f>
        <v>0</v>
      </c>
      <c r="CV38" s="287">
        <f>SUM($AE38,$AG38)</f>
        <v>0</v>
      </c>
      <c r="CW38" s="287">
        <f>SUM($AF38,$AH38)</f>
        <v>0</v>
      </c>
      <c r="CX38" s="280">
        <f>SUM(CV38,CW38)</f>
        <v>0</v>
      </c>
    </row>
    <row r="39" spans="1:102" ht="12.75">
      <c r="A39" s="277" t="s">
        <v>238</v>
      </c>
      <c r="B39" s="278">
        <v>16000000</v>
      </c>
      <c r="C39" s="418">
        <v>0</v>
      </c>
      <c r="D39" s="419">
        <v>818619</v>
      </c>
      <c r="E39" s="281">
        <f t="shared" si="86"/>
        <v>16000000</v>
      </c>
      <c r="F39" s="282">
        <f t="shared" si="86"/>
        <v>4163440.8200000003</v>
      </c>
      <c r="G39" s="279"/>
      <c r="H39" s="280">
        <v>818618.16</v>
      </c>
      <c r="I39" s="279">
        <v>2000000</v>
      </c>
      <c r="J39" s="280">
        <v>818618.16</v>
      </c>
      <c r="K39" s="279"/>
      <c r="L39" s="280">
        <v>818618.16</v>
      </c>
      <c r="M39" s="279">
        <v>3000000</v>
      </c>
      <c r="N39" s="280">
        <v>818618.16</v>
      </c>
      <c r="O39" s="279">
        <v>5500000</v>
      </c>
      <c r="P39" s="280">
        <v>562800</v>
      </c>
      <c r="Q39" s="283">
        <v>5500000</v>
      </c>
      <c r="R39" s="280">
        <v>326168.18</v>
      </c>
      <c r="S39" s="279"/>
      <c r="T39" s="280"/>
      <c r="U39" s="279"/>
      <c r="V39" s="280"/>
      <c r="W39" s="279"/>
      <c r="X39" s="280"/>
      <c r="Y39" s="279"/>
      <c r="Z39" s="280"/>
      <c r="AA39" s="279"/>
      <c r="AB39" s="280"/>
      <c r="AC39" s="279"/>
      <c r="AD39" s="280"/>
      <c r="AE39" s="279"/>
      <c r="AF39" s="280"/>
      <c r="AG39" s="279"/>
      <c r="AH39" s="280"/>
      <c r="AI39" s="279"/>
      <c r="AJ39" s="280"/>
      <c r="AK39" s="279"/>
      <c r="AL39" s="280"/>
      <c r="AM39" s="279"/>
      <c r="AN39" s="280"/>
      <c r="AO39" s="279"/>
      <c r="AP39" s="280"/>
      <c r="AQ39" s="279"/>
      <c r="AR39" s="280"/>
      <c r="AU39" s="277" t="str">
        <f t="shared" si="87"/>
        <v>Nordea Bank 2010</v>
      </c>
      <c r="AV39" s="278">
        <f t="shared" si="87"/>
        <v>16000000</v>
      </c>
      <c r="AW39" s="284">
        <f>SUM($I39,$K39,$M39,$O39,$Q39,$S39,$U39,$W39,$Y39,$AA39,$AC39,$AE39,$AG39)</f>
        <v>16000000</v>
      </c>
      <c r="AX39" s="285">
        <f>SUM($J39,$L39,$N39,$P39,$R39,$T39,$V39,$X39,$Z39,$AB39,$AD39,$AF39,$AH39)</f>
        <v>3344822.66</v>
      </c>
      <c r="AY39" s="280">
        <f t="shared" si="88"/>
        <v>19344822.66</v>
      </c>
      <c r="AZ39" s="286">
        <f>SUM($K39,$M39,$O39,$Q39,$S39,$U39,$W39,$Y39,$AA39,$AC39,$AE39,$AG39)</f>
        <v>14000000</v>
      </c>
      <c r="BA39" s="287">
        <f>SUM($L39,$N39,$P39,$R39,$T39,$V39,$X39,$Z39,$AB39,$AD39,$AF39,$AH39)</f>
        <v>2526204.5000000005</v>
      </c>
      <c r="BB39" s="280">
        <f>SUM(AZ39,BA39)</f>
        <v>16526204.5</v>
      </c>
      <c r="BC39" s="213">
        <f>SUM($M39,$O39,$Q39,$S39,$U39,$W39,$Y39,$AA39,$AC39,$AE39,$AG39)</f>
        <v>14000000</v>
      </c>
      <c r="BD39" s="287">
        <f>SUM($N39,$P39,$R39,$T39,$V39,$X39,$Z39,$AB39,$AD39,$AF39,$AH39)</f>
        <v>1707586.34</v>
      </c>
      <c r="BE39" s="280">
        <f>SUM(BC39,BD39)</f>
        <v>15707586.34</v>
      </c>
      <c r="BF39" s="213">
        <f>SUM($O39,$Q39,$S39,$U39,$W39,$Y39,$AA39,$AC39,$AE39,$AG39)</f>
        <v>11000000</v>
      </c>
      <c r="BG39" s="287">
        <f>SUM($P39,$R39,$T39,$V39,$X39,$Z39,$AB39,$AD39,$AF39,$AH39)</f>
        <v>888968.17999999993</v>
      </c>
      <c r="BH39" s="280">
        <f>SUM(BF39,BG39)</f>
        <v>11888968.18</v>
      </c>
      <c r="BI39" s="213">
        <f>SUM($Q39,$S39,$U39,$W39,$Y39,$AA39,$AC39,$AE39,$AG39)</f>
        <v>5500000</v>
      </c>
      <c r="BJ39" s="287">
        <f>SUM($R39,$T39,$V39,$X39,$Z39,$AB39,$AD39,$AF39,$AH39)</f>
        <v>326168.18</v>
      </c>
      <c r="BK39" s="280">
        <f>SUM(BI39,BJ39)</f>
        <v>5826168.1799999997</v>
      </c>
      <c r="BL39" s="213">
        <f>SUM($S39,$U39,$W39,$Y39,$AA39,$AC39,$AE39,$AG39)</f>
        <v>0</v>
      </c>
      <c r="BM39" s="287">
        <f>SUM($T39,$V39,$X39,$Z39,$AB39,$AD39,$AF39,$AH39)</f>
        <v>0</v>
      </c>
      <c r="BN39" s="280">
        <f>SUM(BL39,BM39)</f>
        <v>0</v>
      </c>
      <c r="BO39" s="213">
        <f>SUM($U39,$W39,$Y39,$AA39,$AC39,$AE39,$AG39)</f>
        <v>0</v>
      </c>
      <c r="BP39" s="287">
        <f>SUM($V39,$X39,$Z39,$AB39,$AD39,$AF39,$AH39)</f>
        <v>0</v>
      </c>
      <c r="BQ39" s="280">
        <f>SUM(BO39,BP39)</f>
        <v>0</v>
      </c>
      <c r="BR39" s="213">
        <f>SUM($W39,$Y39,$AA39,$AC39,$AE39,$AG39)</f>
        <v>0</v>
      </c>
      <c r="BS39" s="287">
        <f>SUM($X39,$Z39,$AB39,$AD39,$AF39,$AH39)</f>
        <v>0</v>
      </c>
      <c r="BT39" s="280">
        <f>SUM(BR39,BS39)</f>
        <v>0</v>
      </c>
      <c r="BU39" s="213">
        <f>SUM($Y39,$AA39,$AC39,$AE39,$AG39)</f>
        <v>0</v>
      </c>
      <c r="BV39" s="287">
        <f>SUM($Z39,$AB39,$AD39,$AF39,$AH39)</f>
        <v>0</v>
      </c>
      <c r="BW39" s="280">
        <f>SUM(BU39,BV39)</f>
        <v>0</v>
      </c>
      <c r="BX39" s="213">
        <f>SUM($AA39,$AC39,$AE39,$AG39)</f>
        <v>0</v>
      </c>
      <c r="BY39" s="287">
        <f>SUM($AB39,$AD39,$AF39,$AH39)</f>
        <v>0</v>
      </c>
      <c r="BZ39" s="280">
        <f>SUM(BX39,BY39)</f>
        <v>0</v>
      </c>
      <c r="CA39" s="287">
        <f>SUM($AC39,$AE39,$AG39)</f>
        <v>0</v>
      </c>
      <c r="CB39" s="287">
        <f>SUM($AD39,$AF39,$AH39)</f>
        <v>0</v>
      </c>
      <c r="CC39" s="280">
        <f>SUM(CA39,CB39)</f>
        <v>0</v>
      </c>
      <c r="CD39" s="287">
        <f>SUM($AE39,$AG39)</f>
        <v>0</v>
      </c>
      <c r="CE39" s="287">
        <f>SUM($AF39,$AH39)</f>
        <v>0</v>
      </c>
      <c r="CF39" s="280">
        <f>SUM(CD39,CE39)</f>
        <v>0</v>
      </c>
      <c r="CG39" s="287">
        <f>SUM($AE39,$AG39)</f>
        <v>0</v>
      </c>
      <c r="CH39" s="287">
        <f>SUM($AF39,$AH39)</f>
        <v>0</v>
      </c>
      <c r="CI39" s="280">
        <f>SUM(CG39,CH39)</f>
        <v>0</v>
      </c>
      <c r="CJ39" s="287">
        <f>SUM($AE39,$AG39)</f>
        <v>0</v>
      </c>
      <c r="CK39" s="287">
        <f>SUM($AF39,$AH39)</f>
        <v>0</v>
      </c>
      <c r="CL39" s="280">
        <f>SUM(CJ39,CK39)</f>
        <v>0</v>
      </c>
      <c r="CM39" s="287">
        <f>SUM($AE39,$AG39)</f>
        <v>0</v>
      </c>
      <c r="CN39" s="287">
        <f>SUM($AF39,$AH39)</f>
        <v>0</v>
      </c>
      <c r="CO39" s="280">
        <f>SUM(CM39,CN39)</f>
        <v>0</v>
      </c>
      <c r="CP39" s="287">
        <f>SUM($AE39,$AG39)</f>
        <v>0</v>
      </c>
      <c r="CQ39" s="287">
        <f>SUM($AF39,$AH39)</f>
        <v>0</v>
      </c>
      <c r="CR39" s="280">
        <f>SUM(CP39,CQ39)</f>
        <v>0</v>
      </c>
      <c r="CS39" s="287">
        <f>SUM($AE39,$AG39)</f>
        <v>0</v>
      </c>
      <c r="CT39" s="287">
        <f>SUM($AF39,$AH39)</f>
        <v>0</v>
      </c>
      <c r="CU39" s="280">
        <f>SUM(CS39,CT39)</f>
        <v>0</v>
      </c>
      <c r="CV39" s="287">
        <f>SUM($AE39,$AG39)</f>
        <v>0</v>
      </c>
      <c r="CW39" s="287">
        <f>SUM($AF39,$AH39)</f>
        <v>0</v>
      </c>
      <c r="CX39" s="280">
        <f>SUM(CV39,CW39)</f>
        <v>0</v>
      </c>
    </row>
    <row r="40" spans="1:102" ht="12.75">
      <c r="A40" s="277" t="s">
        <v>231</v>
      </c>
      <c r="B40" s="288">
        <v>10000000</v>
      </c>
      <c r="C40" s="289"/>
      <c r="D40" s="290"/>
      <c r="E40" s="281">
        <f t="shared" si="86"/>
        <v>10000000</v>
      </c>
      <c r="F40" s="282">
        <f t="shared" si="86"/>
        <v>3574450.68</v>
      </c>
      <c r="G40" s="289"/>
      <c r="H40" s="290">
        <v>511636.32</v>
      </c>
      <c r="I40" s="289">
        <v>500000</v>
      </c>
      <c r="J40" s="290">
        <v>602696</v>
      </c>
      <c r="K40" s="289">
        <v>500000</v>
      </c>
      <c r="L40" s="290">
        <v>486054.6</v>
      </c>
      <c r="M40" s="289"/>
      <c r="N40" s="290">
        <v>460472.76</v>
      </c>
      <c r="O40" s="289">
        <v>500000</v>
      </c>
      <c r="P40" s="290">
        <v>460472.76</v>
      </c>
      <c r="Q40" s="289">
        <v>500000</v>
      </c>
      <c r="R40" s="290">
        <v>439154.56</v>
      </c>
      <c r="S40" s="289">
        <v>4000000</v>
      </c>
      <c r="T40" s="290">
        <v>409309.08</v>
      </c>
      <c r="U40" s="289">
        <v>4000000</v>
      </c>
      <c r="V40" s="290">
        <v>204654.6</v>
      </c>
      <c r="W40" s="289"/>
      <c r="X40" s="290"/>
      <c r="Y40" s="289"/>
      <c r="Z40" s="290"/>
      <c r="AA40" s="289"/>
      <c r="AB40" s="290"/>
      <c r="AC40" s="289"/>
      <c r="AD40" s="290"/>
      <c r="AE40" s="289"/>
      <c r="AF40" s="290"/>
      <c r="AG40" s="289"/>
      <c r="AH40" s="290"/>
      <c r="AI40" s="289"/>
      <c r="AJ40" s="290"/>
      <c r="AK40" s="289"/>
      <c r="AL40" s="290"/>
      <c r="AM40" s="289"/>
      <c r="AN40" s="290"/>
      <c r="AO40" s="289"/>
      <c r="AP40" s="290"/>
      <c r="AQ40" s="289"/>
      <c r="AR40" s="290"/>
      <c r="AU40" s="277" t="str">
        <f t="shared" si="87"/>
        <v>Nordea Bank 2011</v>
      </c>
      <c r="AV40" s="278">
        <f t="shared" si="87"/>
        <v>10000000</v>
      </c>
      <c r="AW40" s="284">
        <f>SUM($I40,$K40,$M40,$O40,$Q40,$S40,$U40,$W40,$Y40,$AA40,$AC40,$AE40,$AG40)</f>
        <v>10000000</v>
      </c>
      <c r="AX40" s="285">
        <f>SUM($J40,$L40,$N40,$P40,$R40,$T40,$V40,$X40,$Z40,$AB40,$AD40,$AF40,$AH40)</f>
        <v>3062814.3600000003</v>
      </c>
      <c r="AY40" s="280">
        <f t="shared" si="88"/>
        <v>13062814.359999999</v>
      </c>
      <c r="AZ40" s="286">
        <f>SUM($K40,$M40,$O40,$Q40,$S40,$U40,$W40,$Y40,$AA40,$AC40,$AE40,$AG40)</f>
        <v>9500000</v>
      </c>
      <c r="BA40" s="287">
        <f>SUM($L40,$N40,$P40,$R40,$T40,$V40,$X40,$Z40,$AB40,$AD40,$AF40,$AH40)</f>
        <v>2460118.3600000003</v>
      </c>
      <c r="BB40" s="280">
        <f>SUM(AZ40,BA40)</f>
        <v>11960118.359999999</v>
      </c>
      <c r="BC40" s="213">
        <f>SUM($M40,$O40,$Q40,$S40,$U40,$W40,$Y40,$AA40,$AC40,$AE40,$AG40)</f>
        <v>9000000</v>
      </c>
      <c r="BD40" s="287">
        <f>SUM($N40,$P40,$R40,$T40,$V40,$X40,$Z40,$AB40,$AD40,$AF40,$AH40)</f>
        <v>1974063.7600000002</v>
      </c>
      <c r="BE40" s="280">
        <f>SUM(BC40,BD40)</f>
        <v>10974063.76</v>
      </c>
      <c r="BF40" s="213">
        <f>SUM($O40,$Q40,$S40,$U40,$W40,$Y40,$AA40,$AC40,$AE40,$AG40)</f>
        <v>9000000</v>
      </c>
      <c r="BG40" s="287">
        <f>SUM($P40,$R40,$T40,$V40,$X40,$Z40,$AB40,$AD40,$AF40,$AH40)</f>
        <v>1513591.0000000002</v>
      </c>
      <c r="BH40" s="280">
        <f>SUM(BF40,BG40)</f>
        <v>10513591</v>
      </c>
      <c r="BI40" s="213">
        <f>SUM($Q40,$S40,$U40,$W40,$Y40,$AA40,$AC40,$AE40,$AG40)</f>
        <v>8500000</v>
      </c>
      <c r="BJ40" s="287">
        <f>SUM($R40,$T40,$V40,$X40,$Z40,$AB40,$AD40,$AF40,$AH40)</f>
        <v>1053118.24</v>
      </c>
      <c r="BK40" s="280">
        <f>SUM(BI40,BJ40)</f>
        <v>9553118.2400000002</v>
      </c>
      <c r="BL40" s="213">
        <f>SUM($S40,$U40,$W40,$Y40,$AA40,$AC40,$AE40,$AG40)</f>
        <v>8000000</v>
      </c>
      <c r="BM40" s="287">
        <f>SUM($T40,$V40,$X40,$Z40,$AB40,$AD40,$AF40,$AH40)</f>
        <v>613963.68000000005</v>
      </c>
      <c r="BN40" s="280">
        <f>SUM(BL40,BM40)</f>
        <v>8613963.6799999997</v>
      </c>
      <c r="BO40" s="213">
        <f>SUM($U40,$W40,$Y40,$AA40,$AC40,$AE40,$AG40)</f>
        <v>4000000</v>
      </c>
      <c r="BP40" s="287">
        <f>SUM($V40,$X40,$Z40,$AB40,$AD40,$AF40,$AH40)</f>
        <v>204654.6</v>
      </c>
      <c r="BQ40" s="280">
        <f>SUM(BO40,BP40)</f>
        <v>4204654.5999999996</v>
      </c>
      <c r="BR40" s="213">
        <f>SUM($W40,$Y40,$AA40,$AC40,$AE40,$AG40)</f>
        <v>0</v>
      </c>
      <c r="BS40" s="287">
        <f>SUM($X40,$Z40,$AB40,$AD40,$AF40,$AH40)</f>
        <v>0</v>
      </c>
      <c r="BT40" s="280">
        <f>SUM(BR40,BS40)</f>
        <v>0</v>
      </c>
      <c r="BU40" s="213">
        <f>SUM($Y40,$AA40,$AC40,$AE40,$AG40)</f>
        <v>0</v>
      </c>
      <c r="BV40" s="287">
        <f>SUM($Z40,$AB40,$AD40,$AF40,$AH40)</f>
        <v>0</v>
      </c>
      <c r="BW40" s="280">
        <f>SUM(BU40,BV40)</f>
        <v>0</v>
      </c>
      <c r="BX40" s="213">
        <f>SUM($AA40,$AC40,$AE40,$AG40)</f>
        <v>0</v>
      </c>
      <c r="BY40" s="287">
        <f>SUM($AB40,$AD40,$AF40,$AH40)</f>
        <v>0</v>
      </c>
      <c r="BZ40" s="280">
        <f>SUM(BX40,BY40)</f>
        <v>0</v>
      </c>
      <c r="CA40" s="287">
        <f>SUM($AC40,$AE40,$AG40)</f>
        <v>0</v>
      </c>
      <c r="CB40" s="287">
        <f>SUM($AD40,$AF40,$AH40)</f>
        <v>0</v>
      </c>
      <c r="CC40" s="280">
        <f>SUM(CA40,CB40)</f>
        <v>0</v>
      </c>
      <c r="CD40" s="287">
        <f>SUM($AE40,$AG40)</f>
        <v>0</v>
      </c>
      <c r="CE40" s="287">
        <f>SUM($AF40,$AH40)</f>
        <v>0</v>
      </c>
      <c r="CF40" s="280">
        <f>SUM(CD40,CE40)</f>
        <v>0</v>
      </c>
      <c r="CG40" s="287">
        <f>SUM($AE40,$AG40)</f>
        <v>0</v>
      </c>
      <c r="CH40" s="287">
        <f>SUM($AF40,$AH40)</f>
        <v>0</v>
      </c>
      <c r="CI40" s="280">
        <f>SUM(CG40,CH40)</f>
        <v>0</v>
      </c>
      <c r="CJ40" s="287">
        <f>SUM($AE40,$AG40)</f>
        <v>0</v>
      </c>
      <c r="CK40" s="287">
        <f>SUM($AF40,$AH40)</f>
        <v>0</v>
      </c>
      <c r="CL40" s="280">
        <f>SUM(CJ40,CK40)</f>
        <v>0</v>
      </c>
      <c r="CM40" s="287">
        <f>SUM($AE40,$AG40)</f>
        <v>0</v>
      </c>
      <c r="CN40" s="287">
        <f>SUM($AF40,$AH40)</f>
        <v>0</v>
      </c>
      <c r="CO40" s="280">
        <f>SUM(CM40,CN40)</f>
        <v>0</v>
      </c>
      <c r="CP40" s="287">
        <f>SUM($AE40,$AG40)</f>
        <v>0</v>
      </c>
      <c r="CQ40" s="287">
        <f>SUM($AF40,$AH40)</f>
        <v>0</v>
      </c>
      <c r="CR40" s="280">
        <f>SUM(CP40,CQ40)</f>
        <v>0</v>
      </c>
      <c r="CS40" s="287">
        <f>SUM($AE40,$AG40)</f>
        <v>0</v>
      </c>
      <c r="CT40" s="287">
        <f>SUM($AF40,$AH40)</f>
        <v>0</v>
      </c>
      <c r="CU40" s="280">
        <f>SUM(CS40,CT40)</f>
        <v>0</v>
      </c>
      <c r="CV40" s="287">
        <f>SUM($AE40,$AG40)</f>
        <v>0</v>
      </c>
      <c r="CW40" s="287">
        <f>SUM($AF40,$AH40)</f>
        <v>0</v>
      </c>
      <c r="CX40" s="280">
        <f>SUM(CV40,CW40)</f>
        <v>0</v>
      </c>
    </row>
    <row r="41" spans="1:102" ht="12.75">
      <c r="A41" s="291"/>
      <c r="B41" s="292"/>
      <c r="C41" s="293"/>
      <c r="D41" s="294"/>
      <c r="E41" s="281"/>
      <c r="F41" s="282"/>
      <c r="G41" s="293"/>
      <c r="H41" s="294"/>
      <c r="I41" s="293"/>
      <c r="J41" s="294"/>
      <c r="K41" s="293"/>
      <c r="L41" s="294"/>
      <c r="M41" s="293"/>
      <c r="N41" s="294"/>
      <c r="O41" s="293"/>
      <c r="P41" s="294"/>
      <c r="Q41" s="293"/>
      <c r="R41" s="294"/>
      <c r="S41" s="293"/>
      <c r="T41" s="294"/>
      <c r="U41" s="293"/>
      <c r="V41" s="294"/>
      <c r="W41" s="293"/>
      <c r="X41" s="294"/>
      <c r="Y41" s="293"/>
      <c r="Z41" s="294"/>
      <c r="AA41" s="293"/>
      <c r="AB41" s="294"/>
      <c r="AC41" s="293"/>
      <c r="AD41" s="294"/>
      <c r="AE41" s="293"/>
      <c r="AF41" s="294"/>
      <c r="AG41" s="293"/>
      <c r="AH41" s="294"/>
      <c r="AI41" s="293"/>
      <c r="AJ41" s="294"/>
      <c r="AK41" s="293"/>
      <c r="AL41" s="294"/>
      <c r="AM41" s="293"/>
      <c r="AN41" s="294"/>
      <c r="AO41" s="293"/>
      <c r="AP41" s="294"/>
      <c r="AQ41" s="293"/>
      <c r="AR41" s="294"/>
      <c r="AU41" s="561"/>
      <c r="AV41" s="278"/>
      <c r="AW41" s="284"/>
      <c r="AX41" s="285"/>
      <c r="AY41" s="280"/>
      <c r="AZ41" s="286"/>
      <c r="BA41" s="287"/>
      <c r="BB41" s="554"/>
      <c r="BC41" s="211"/>
      <c r="BD41" s="287"/>
      <c r="BE41" s="554"/>
      <c r="BF41" s="211"/>
      <c r="BG41" s="287"/>
      <c r="BH41" s="554"/>
      <c r="BI41" s="211"/>
      <c r="BJ41" s="287"/>
      <c r="BK41" s="554"/>
      <c r="BL41" s="211"/>
      <c r="BM41" s="287"/>
      <c r="BN41" s="554"/>
      <c r="BO41" s="211"/>
      <c r="BP41" s="287"/>
      <c r="BQ41" s="554"/>
      <c r="BR41" s="211"/>
      <c r="BS41" s="287"/>
      <c r="BT41" s="554"/>
      <c r="BU41" s="211"/>
      <c r="BV41" s="287"/>
      <c r="BW41" s="554"/>
      <c r="BX41" s="211"/>
      <c r="BY41" s="287"/>
      <c r="BZ41" s="554"/>
      <c r="CA41" s="287"/>
      <c r="CB41" s="287"/>
      <c r="CC41" s="554"/>
      <c r="CD41" s="287"/>
      <c r="CE41" s="287"/>
      <c r="CF41" s="554"/>
      <c r="CG41" s="287"/>
      <c r="CH41" s="287"/>
      <c r="CI41" s="554"/>
      <c r="CJ41" s="287"/>
      <c r="CK41" s="287"/>
      <c r="CL41" s="554"/>
      <c r="CM41" s="287"/>
      <c r="CN41" s="287"/>
      <c r="CO41" s="554"/>
      <c r="CP41" s="287"/>
      <c r="CQ41" s="287"/>
      <c r="CR41" s="554"/>
      <c r="CS41" s="287"/>
      <c r="CT41" s="287"/>
      <c r="CU41" s="554"/>
      <c r="CV41" s="287"/>
      <c r="CW41" s="287"/>
      <c r="CX41" s="554"/>
    </row>
    <row r="42" spans="1:102" s="562" customFormat="1" ht="12.75">
      <c r="A42" s="555"/>
      <c r="B42" s="556"/>
      <c r="C42" s="557"/>
      <c r="D42" s="558"/>
      <c r="E42" s="559"/>
      <c r="F42" s="560"/>
      <c r="G42" s="557">
        <f>SUM(G36:G40)</f>
        <v>6300000</v>
      </c>
      <c r="H42" s="558">
        <f t="shared" ref="H42:AH42" si="89">SUM(H36:H40)</f>
        <v>2096893.6000000003</v>
      </c>
      <c r="I42" s="557">
        <f t="shared" si="89"/>
        <v>9500000</v>
      </c>
      <c r="J42" s="558">
        <f t="shared" si="89"/>
        <v>2122230.08</v>
      </c>
      <c r="K42" s="557">
        <f t="shared" si="89"/>
        <v>3500000</v>
      </c>
      <c r="L42" s="558">
        <f t="shared" si="89"/>
        <v>1584672.7600000002</v>
      </c>
      <c r="M42" s="557">
        <f t="shared" si="89"/>
        <v>3900000</v>
      </c>
      <c r="N42" s="558">
        <f t="shared" si="89"/>
        <v>1330930.9500000002</v>
      </c>
      <c r="O42" s="557">
        <f t="shared" si="89"/>
        <v>6000000</v>
      </c>
      <c r="P42" s="558">
        <f t="shared" si="89"/>
        <v>1023272.76</v>
      </c>
      <c r="Q42" s="557">
        <f t="shared" si="89"/>
        <v>6000000</v>
      </c>
      <c r="R42" s="558">
        <f t="shared" si="89"/>
        <v>765322.74</v>
      </c>
      <c r="S42" s="557">
        <f t="shared" si="89"/>
        <v>4000000</v>
      </c>
      <c r="T42" s="558">
        <f t="shared" si="89"/>
        <v>409309.08</v>
      </c>
      <c r="U42" s="557">
        <f t="shared" si="89"/>
        <v>4000000</v>
      </c>
      <c r="V42" s="558">
        <f t="shared" si="89"/>
        <v>204654.6</v>
      </c>
      <c r="W42" s="557">
        <f t="shared" si="89"/>
        <v>0</v>
      </c>
      <c r="X42" s="558">
        <f t="shared" si="89"/>
        <v>0</v>
      </c>
      <c r="Y42" s="557">
        <f t="shared" si="89"/>
        <v>0</v>
      </c>
      <c r="Z42" s="558">
        <f t="shared" si="89"/>
        <v>0</v>
      </c>
      <c r="AA42" s="557">
        <f t="shared" si="89"/>
        <v>0</v>
      </c>
      <c r="AB42" s="558">
        <f t="shared" si="89"/>
        <v>0</v>
      </c>
      <c r="AC42" s="557">
        <f t="shared" si="89"/>
        <v>0</v>
      </c>
      <c r="AD42" s="558">
        <f t="shared" si="89"/>
        <v>0</v>
      </c>
      <c r="AE42" s="557">
        <f t="shared" si="89"/>
        <v>0</v>
      </c>
      <c r="AF42" s="558">
        <f t="shared" si="89"/>
        <v>0</v>
      </c>
      <c r="AG42" s="557">
        <f t="shared" si="89"/>
        <v>0</v>
      </c>
      <c r="AH42" s="558">
        <f t="shared" si="89"/>
        <v>0</v>
      </c>
      <c r="AI42" s="557">
        <f t="shared" ref="AI42:AR42" si="90">SUM(AI36:AI40)</f>
        <v>0</v>
      </c>
      <c r="AJ42" s="558">
        <f t="shared" si="90"/>
        <v>0</v>
      </c>
      <c r="AK42" s="557">
        <f t="shared" si="90"/>
        <v>0</v>
      </c>
      <c r="AL42" s="558">
        <f t="shared" si="90"/>
        <v>0</v>
      </c>
      <c r="AM42" s="557">
        <f t="shared" si="90"/>
        <v>0</v>
      </c>
      <c r="AN42" s="558">
        <f t="shared" si="90"/>
        <v>0</v>
      </c>
      <c r="AO42" s="557">
        <f t="shared" si="90"/>
        <v>0</v>
      </c>
      <c r="AP42" s="558">
        <f t="shared" si="90"/>
        <v>0</v>
      </c>
      <c r="AQ42" s="557">
        <f t="shared" si="90"/>
        <v>0</v>
      </c>
      <c r="AR42" s="558">
        <f t="shared" si="90"/>
        <v>0</v>
      </c>
      <c r="AU42" s="563"/>
      <c r="AV42" s="564"/>
      <c r="AW42" s="565"/>
      <c r="AX42" s="566"/>
      <c r="AY42" s="567"/>
      <c r="AZ42" s="568"/>
      <c r="BA42" s="569"/>
      <c r="BB42" s="570"/>
      <c r="BC42" s="566"/>
      <c r="BD42" s="569"/>
      <c r="BE42" s="570"/>
      <c r="BF42" s="566"/>
      <c r="BG42" s="569"/>
      <c r="BH42" s="570"/>
      <c r="BI42" s="566"/>
      <c r="BJ42" s="569"/>
      <c r="BK42" s="570"/>
      <c r="BL42" s="566"/>
      <c r="BM42" s="569"/>
      <c r="BN42" s="570"/>
      <c r="BO42" s="566"/>
      <c r="BP42" s="569"/>
      <c r="BQ42" s="570"/>
      <c r="BR42" s="566"/>
      <c r="BS42" s="569"/>
      <c r="BT42" s="570"/>
      <c r="BU42" s="566"/>
      <c r="BV42" s="569"/>
      <c r="BW42" s="570"/>
      <c r="BX42" s="566"/>
      <c r="BY42" s="569"/>
      <c r="BZ42" s="570"/>
      <c r="CA42" s="569"/>
      <c r="CB42" s="569"/>
      <c r="CC42" s="570"/>
      <c r="CD42" s="569"/>
      <c r="CE42" s="569"/>
      <c r="CF42" s="570"/>
      <c r="CG42" s="569"/>
      <c r="CH42" s="569"/>
      <c r="CI42" s="570"/>
      <c r="CJ42" s="569"/>
      <c r="CK42" s="569"/>
      <c r="CL42" s="570"/>
      <c r="CM42" s="569"/>
      <c r="CN42" s="569"/>
      <c r="CO42" s="570"/>
      <c r="CP42" s="569"/>
      <c r="CQ42" s="569"/>
      <c r="CR42" s="570"/>
      <c r="CS42" s="569"/>
      <c r="CT42" s="569"/>
      <c r="CU42" s="570"/>
      <c r="CV42" s="569"/>
      <c r="CW42" s="569"/>
      <c r="CX42" s="570"/>
    </row>
    <row r="43" spans="1:102" ht="12.75">
      <c r="A43" s="291"/>
      <c r="B43" s="292"/>
      <c r="C43" s="293"/>
      <c r="D43" s="294"/>
      <c r="E43" s="281">
        <f>G43+I43+K43+M43+O43+Q43+S43+U43+W43+Y43+AA43+AC43+AE43+AG43</f>
        <v>0</v>
      </c>
      <c r="F43" s="282">
        <f>H43+J43+L43+N43+P43+R43+T43+V43+X43+Z43+AB43+AD43+AF43+AH43</f>
        <v>0</v>
      </c>
      <c r="G43" s="293"/>
      <c r="H43" s="294"/>
      <c r="I43" s="293"/>
      <c r="J43" s="294"/>
      <c r="K43" s="293"/>
      <c r="L43" s="294"/>
      <c r="M43" s="293"/>
      <c r="N43" s="294"/>
      <c r="O43" s="293"/>
      <c r="P43" s="294"/>
      <c r="Q43" s="293"/>
      <c r="R43" s="294"/>
      <c r="S43" s="293"/>
      <c r="T43" s="294"/>
      <c r="U43" s="293"/>
      <c r="V43" s="294"/>
      <c r="W43" s="293"/>
      <c r="X43" s="294"/>
      <c r="Y43" s="293"/>
      <c r="Z43" s="294"/>
      <c r="AA43" s="293"/>
      <c r="AB43" s="294"/>
      <c r="AC43" s="293"/>
      <c r="AD43" s="294"/>
      <c r="AE43" s="293"/>
      <c r="AF43" s="294"/>
      <c r="AG43" s="293"/>
      <c r="AH43" s="294"/>
      <c r="AI43" s="293"/>
      <c r="AJ43" s="294"/>
      <c r="AK43" s="293"/>
      <c r="AL43" s="294"/>
      <c r="AM43" s="293"/>
      <c r="AN43" s="294"/>
      <c r="AO43" s="293"/>
      <c r="AP43" s="294"/>
      <c r="AQ43" s="293"/>
      <c r="AR43" s="294"/>
      <c r="AU43" s="295"/>
      <c r="AV43" s="278"/>
      <c r="AW43" s="284"/>
      <c r="AX43" s="287"/>
      <c r="AY43" s="280"/>
      <c r="AZ43" s="285"/>
      <c r="BA43" s="287"/>
      <c r="BB43" s="296"/>
      <c r="BC43" s="208"/>
      <c r="BD43" s="287"/>
      <c r="BE43" s="296"/>
      <c r="BF43" s="208"/>
      <c r="BG43" s="287"/>
      <c r="BH43" s="296"/>
      <c r="BI43" s="208"/>
      <c r="BJ43" s="287"/>
      <c r="BK43" s="296"/>
      <c r="BL43" s="208"/>
      <c r="BM43" s="287"/>
      <c r="BN43" s="296"/>
      <c r="BO43" s="208"/>
      <c r="BP43" s="287"/>
      <c r="BQ43" s="296"/>
      <c r="BR43" s="208"/>
      <c r="BS43" s="287"/>
      <c r="BT43" s="296"/>
      <c r="BU43" s="208"/>
      <c r="BV43" s="287"/>
      <c r="BW43" s="296"/>
      <c r="BX43" s="208"/>
      <c r="BY43" s="287"/>
      <c r="BZ43" s="296"/>
      <c r="CA43" s="287"/>
      <c r="CB43" s="287"/>
      <c r="CC43" s="296"/>
      <c r="CD43" s="287"/>
      <c r="CE43" s="287"/>
      <c r="CF43" s="296"/>
      <c r="CG43" s="287"/>
      <c r="CH43" s="287"/>
      <c r="CI43" s="296"/>
      <c r="CJ43" s="287"/>
      <c r="CK43" s="287"/>
      <c r="CL43" s="296"/>
      <c r="CM43" s="287"/>
      <c r="CN43" s="287"/>
      <c r="CO43" s="296"/>
      <c r="CP43" s="287"/>
      <c r="CQ43" s="287"/>
      <c r="CR43" s="296"/>
      <c r="CS43" s="287"/>
      <c r="CT43" s="287"/>
      <c r="CU43" s="296"/>
      <c r="CV43" s="287"/>
      <c r="CW43" s="287"/>
      <c r="CX43" s="296"/>
    </row>
    <row r="44" spans="1:102" ht="12.75">
      <c r="A44" s="291" t="s">
        <v>282</v>
      </c>
      <c r="B44" s="292">
        <f>G44+I44+K44+M44+O44+Q44+S44+U44+W44+Y44+AA44+AC44+AE44+AG44</f>
        <v>9000000</v>
      </c>
      <c r="C44" s="293">
        <v>0</v>
      </c>
      <c r="D44" s="294">
        <v>0</v>
      </c>
      <c r="E44" s="281">
        <f>G44+I44+K44+M44+O44+Q44+S44+U44+W44+Y44+AA44+AC44+AE44+AG44</f>
        <v>9000000</v>
      </c>
      <c r="F44" s="282">
        <f>H44+J44+L44+N44+P44+R44+T44+V44+X44+Z44+AB44+AD44+AF44+AH44</f>
        <v>3790945.13</v>
      </c>
      <c r="G44" s="293">
        <v>0</v>
      </c>
      <c r="H44" s="294">
        <v>0</v>
      </c>
      <c r="I44" s="293">
        <v>0</v>
      </c>
      <c r="J44" s="294">
        <f>358087.45+163500</f>
        <v>521587.45</v>
      </c>
      <c r="K44" s="293">
        <v>0</v>
      </c>
      <c r="L44" s="294">
        <f>358087.45+163500</f>
        <v>521587.45</v>
      </c>
      <c r="M44" s="293"/>
      <c r="N44" s="294">
        <f>358087.45+163500</f>
        <v>521587.45</v>
      </c>
      <c r="O44" s="293">
        <v>0</v>
      </c>
      <c r="P44" s="294">
        <f>358087.45+163500</f>
        <v>521587.45</v>
      </c>
      <c r="Q44" s="293">
        <v>0</v>
      </c>
      <c r="R44" s="294">
        <f>358087.45+163500</f>
        <v>521587.45</v>
      </c>
      <c r="S44" s="293">
        <v>2000000</v>
      </c>
      <c r="T44" s="294">
        <f>358087.45+163500</f>
        <v>521587.45</v>
      </c>
      <c r="U44" s="293">
        <f>2000000+1000000</f>
        <v>3000000</v>
      </c>
      <c r="V44" s="294">
        <f>264287.47+163500</f>
        <v>427787.47</v>
      </c>
      <c r="W44" s="293">
        <f>3000000+1000000</f>
        <v>4000000</v>
      </c>
      <c r="X44" s="294">
        <f>153432.96+80200</f>
        <v>233632.96</v>
      </c>
      <c r="Y44" s="293">
        <v>0</v>
      </c>
      <c r="Z44" s="294">
        <v>0</v>
      </c>
      <c r="AA44" s="293">
        <v>0</v>
      </c>
      <c r="AB44" s="294">
        <v>0</v>
      </c>
      <c r="AC44" s="293"/>
      <c r="AD44" s="294"/>
      <c r="AE44" s="293"/>
      <c r="AF44" s="294"/>
      <c r="AG44" s="293"/>
      <c r="AH44" s="294"/>
      <c r="AI44" s="293"/>
      <c r="AJ44" s="294"/>
      <c r="AK44" s="293"/>
      <c r="AL44" s="294"/>
      <c r="AM44" s="293"/>
      <c r="AN44" s="294"/>
      <c r="AO44" s="293"/>
      <c r="AP44" s="294"/>
      <c r="AQ44" s="293"/>
      <c r="AR44" s="294"/>
      <c r="AU44" s="277" t="str">
        <f t="shared" si="87"/>
        <v>Obligacje 2012</v>
      </c>
      <c r="AV44" s="278"/>
      <c r="AW44" s="284">
        <f>SUM($I44,$K44,$M44,$O44,$Q44,$S44,$U44,$W44,$Y44,$AA44,$AC44,$AE44,$AG44)</f>
        <v>9000000</v>
      </c>
      <c r="AX44" s="285">
        <f>SUM($J44,$L44,$N44,$P44,$R44,$T44,$V44,$X44,$Z44,$AB44,$AD44,$AF44,$AH44)</f>
        <v>3790945.13</v>
      </c>
      <c r="AY44" s="280">
        <f t="shared" ref="AY44" si="91">SUM(AW44,AX44)</f>
        <v>12790945.129999999</v>
      </c>
      <c r="AZ44" s="286">
        <f>SUM($K44,$M44,$O44,$Q44,$S44,$U44,$W44,$Y44,$AA44,$AC44,$AE44,$AG44)</f>
        <v>9000000</v>
      </c>
      <c r="BA44" s="287">
        <f>SUM($L44,$N44,$P44,$R44,$T44,$V44,$X44,$Z44,$AB44,$AD44,$AF44,$AH44)</f>
        <v>3269357.6799999997</v>
      </c>
      <c r="BB44" s="280">
        <f>SUM(AZ44,BA44)</f>
        <v>12269357.68</v>
      </c>
      <c r="BC44" s="213">
        <f>SUM($M44,$O44,$Q44,$S44,$U44,$W44,$Y44,$AA44,$AC44,$AE44,$AG44)</f>
        <v>9000000</v>
      </c>
      <c r="BD44" s="287">
        <f>SUM($N44,$P44,$R44,$T44,$V44,$X44,$Z44,$AB44,$AD44,$AF44,$AH44)</f>
        <v>2747770.23</v>
      </c>
      <c r="BE44" s="280">
        <f>SUM(BC44,BD44)</f>
        <v>11747770.23</v>
      </c>
      <c r="BF44" s="213">
        <f>SUM($O44,$Q44,$S44,$U44,$W44,$Y44,$AA44,$AC44,$AE44,$AG44)</f>
        <v>9000000</v>
      </c>
      <c r="BG44" s="287">
        <f>SUM($P44,$R44,$T44,$V44,$X44,$Z44,$AB44,$AD44,$AF44,$AH44)</f>
        <v>2226182.7800000003</v>
      </c>
      <c r="BH44" s="280">
        <f>SUM(BF44,BG44)</f>
        <v>11226182.780000001</v>
      </c>
      <c r="BI44" s="213">
        <f>SUM($Q44,$S44,$U44,$W44,$Y44,$AA44,$AC44,$AE44,$AG44)</f>
        <v>9000000</v>
      </c>
      <c r="BJ44" s="287">
        <f>SUM($R44,$T44,$V44,$X44,$Z44,$AB44,$AD44,$AF44,$AH44)</f>
        <v>1704595.33</v>
      </c>
      <c r="BK44" s="280">
        <f>SUM(BI44,BJ44)</f>
        <v>10704595.33</v>
      </c>
      <c r="BL44" s="213">
        <f>SUM($S44,$U44,$W44,$Y44,$AA44,$AC44,$AE44,$AG44)</f>
        <v>9000000</v>
      </c>
      <c r="BM44" s="287">
        <f>SUM($T44,$V44,$X44,$Z44,$AB44,$AD44,$AF44,$AH44)</f>
        <v>1183007.8799999999</v>
      </c>
      <c r="BN44" s="280">
        <f>SUM(BL44,BM44)</f>
        <v>10183007.879999999</v>
      </c>
      <c r="BO44" s="213">
        <f>SUM($U44,$W44,$Y44,$AA44,$AC44,$AE44,$AG44)</f>
        <v>7000000</v>
      </c>
      <c r="BP44" s="287">
        <f>SUM($V44,$X44,$Z44,$AB44,$AD44,$AF44,$AH44)</f>
        <v>661420.42999999993</v>
      </c>
      <c r="BQ44" s="280">
        <f>SUM(BO44,BP44)</f>
        <v>7661420.4299999997</v>
      </c>
      <c r="BR44" s="213">
        <f>SUM($W44,$Y44,$AA44,$AC44,$AE44,$AG44)</f>
        <v>4000000</v>
      </c>
      <c r="BS44" s="287">
        <f>SUM($X44,$Z44,$AB44,$AD44,$AF44,$AH44)</f>
        <v>233632.96</v>
      </c>
      <c r="BT44" s="280">
        <f>SUM(BR44,BS44)</f>
        <v>4233632.96</v>
      </c>
      <c r="BU44" s="213">
        <f>SUM($Y44,$AA44,$AC44,$AE44,$AG44)</f>
        <v>0</v>
      </c>
      <c r="BV44" s="287">
        <f>SUM($Z44,$AB44,$AD44,$AF44,$AH44)</f>
        <v>0</v>
      </c>
      <c r="BW44" s="280">
        <f>SUM(BU44,BV44)</f>
        <v>0</v>
      </c>
      <c r="BX44" s="213">
        <f>SUM($AA44,$AC44,$AE44,$AG44)</f>
        <v>0</v>
      </c>
      <c r="BY44" s="287">
        <f>SUM($AB44,$AD44,$AF44,$AH44)</f>
        <v>0</v>
      </c>
      <c r="BZ44" s="280">
        <f>SUM(BX44,BY44)</f>
        <v>0</v>
      </c>
      <c r="CA44" s="287">
        <f>SUM($AC44,$AE44,$AG44)</f>
        <v>0</v>
      </c>
      <c r="CB44" s="287">
        <f>SUM($AD44,$AF44,$AH44)</f>
        <v>0</v>
      </c>
      <c r="CC44" s="280">
        <f>SUM(CA44,CB44)</f>
        <v>0</v>
      </c>
      <c r="CD44" s="287">
        <f>SUM($AE44,$AG44)</f>
        <v>0</v>
      </c>
      <c r="CE44" s="287">
        <f>SUM($AF44,$AH44)</f>
        <v>0</v>
      </c>
      <c r="CF44" s="280">
        <f>SUM(CD44,CE44)</f>
        <v>0</v>
      </c>
      <c r="CG44" s="287">
        <f>SUM($AE44,$AG44)</f>
        <v>0</v>
      </c>
      <c r="CH44" s="287">
        <f>SUM($AF44,$AH44)</f>
        <v>0</v>
      </c>
      <c r="CI44" s="280">
        <f>SUM(CG44,CH44)</f>
        <v>0</v>
      </c>
      <c r="CJ44" s="287">
        <f>SUM($AE44,$AG44)</f>
        <v>0</v>
      </c>
      <c r="CK44" s="287">
        <f>SUM($AF44,$AH44)</f>
        <v>0</v>
      </c>
      <c r="CL44" s="280">
        <f>SUM(CJ44,CK44)</f>
        <v>0</v>
      </c>
      <c r="CM44" s="287">
        <f>SUM($AE44,$AG44)</f>
        <v>0</v>
      </c>
      <c r="CN44" s="287">
        <f>SUM($AF44,$AH44)</f>
        <v>0</v>
      </c>
      <c r="CO44" s="280">
        <f>SUM(CM44,CN44)</f>
        <v>0</v>
      </c>
      <c r="CP44" s="287">
        <f>SUM($AE44,$AG44)</f>
        <v>0</v>
      </c>
      <c r="CQ44" s="287">
        <f>SUM($AF44,$AH44)</f>
        <v>0</v>
      </c>
      <c r="CR44" s="280">
        <f>SUM(CP44,CQ44)</f>
        <v>0</v>
      </c>
      <c r="CS44" s="287">
        <f>SUM($AE44,$AG44)</f>
        <v>0</v>
      </c>
      <c r="CT44" s="287">
        <f>SUM($AF44,$AH44)</f>
        <v>0</v>
      </c>
      <c r="CU44" s="280">
        <f>SUM(CS44,CT44)</f>
        <v>0</v>
      </c>
      <c r="CV44" s="287">
        <f>SUM($AE44,$AG44)</f>
        <v>0</v>
      </c>
      <c r="CW44" s="287">
        <f>SUM($AF44,$AH44)</f>
        <v>0</v>
      </c>
      <c r="CX44" s="280">
        <f>SUM(CV44,CW44)</f>
        <v>0</v>
      </c>
    </row>
    <row r="45" spans="1:102" ht="12.75">
      <c r="A45" s="291"/>
      <c r="B45" s="292"/>
      <c r="C45" s="293"/>
      <c r="D45" s="294"/>
      <c r="E45" s="281"/>
      <c r="F45" s="282"/>
      <c r="G45" s="293"/>
      <c r="H45" s="294"/>
      <c r="I45" s="293"/>
      <c r="J45" s="294"/>
      <c r="K45" s="293"/>
      <c r="L45" s="294"/>
      <c r="M45" s="293"/>
      <c r="N45" s="294"/>
      <c r="O45" s="293"/>
      <c r="P45" s="294"/>
      <c r="Q45" s="293"/>
      <c r="R45" s="294"/>
      <c r="S45" s="293"/>
      <c r="T45" s="294"/>
      <c r="U45" s="293"/>
      <c r="V45" s="294"/>
      <c r="W45" s="293"/>
      <c r="X45" s="294"/>
      <c r="Y45" s="293"/>
      <c r="Z45" s="294"/>
      <c r="AA45" s="293"/>
      <c r="AB45" s="294"/>
      <c r="AC45" s="293"/>
      <c r="AD45" s="294"/>
      <c r="AE45" s="293"/>
      <c r="AF45" s="294"/>
      <c r="AG45" s="293"/>
      <c r="AH45" s="294"/>
      <c r="AI45" s="293"/>
      <c r="AJ45" s="294"/>
      <c r="AK45" s="293"/>
      <c r="AL45" s="294"/>
      <c r="AM45" s="293"/>
      <c r="AN45" s="294"/>
      <c r="AO45" s="293"/>
      <c r="AP45" s="294"/>
      <c r="AQ45" s="293"/>
      <c r="AR45" s="294"/>
      <c r="AU45" s="277"/>
      <c r="AV45" s="278"/>
      <c r="AW45" s="297"/>
      <c r="AX45" s="298"/>
      <c r="AY45" s="299"/>
      <c r="AZ45" s="285"/>
      <c r="BA45" s="287"/>
      <c r="BB45" s="296"/>
      <c r="BC45" s="208"/>
      <c r="BD45" s="287"/>
      <c r="BE45" s="296"/>
      <c r="BF45" s="208"/>
      <c r="BG45" s="287"/>
      <c r="BH45" s="296"/>
      <c r="BI45" s="208"/>
      <c r="BJ45" s="287"/>
      <c r="BK45" s="296"/>
      <c r="BL45" s="208"/>
      <c r="BM45" s="287"/>
      <c r="BN45" s="296"/>
      <c r="BO45" s="208"/>
      <c r="BP45" s="287"/>
      <c r="BQ45" s="296"/>
      <c r="BR45" s="208"/>
      <c r="BS45" s="287"/>
      <c r="BT45" s="296"/>
      <c r="BU45" s="208"/>
      <c r="BV45" s="287"/>
      <c r="BW45" s="296"/>
      <c r="BX45" s="208"/>
      <c r="BY45" s="287"/>
      <c r="BZ45" s="296"/>
      <c r="CA45" s="287"/>
      <c r="CB45" s="287"/>
      <c r="CC45" s="296"/>
      <c r="CD45" s="287"/>
      <c r="CE45" s="287"/>
      <c r="CF45" s="296"/>
      <c r="CG45" s="287"/>
      <c r="CH45" s="287"/>
      <c r="CI45" s="296"/>
      <c r="CJ45" s="287"/>
      <c r="CK45" s="287"/>
      <c r="CL45" s="296"/>
      <c r="CM45" s="287"/>
      <c r="CN45" s="287"/>
      <c r="CO45" s="296"/>
      <c r="CP45" s="287"/>
      <c r="CQ45" s="287"/>
      <c r="CR45" s="296"/>
      <c r="CS45" s="287"/>
      <c r="CT45" s="287"/>
      <c r="CU45" s="296"/>
      <c r="CV45" s="287"/>
      <c r="CW45" s="287"/>
      <c r="CX45" s="296"/>
    </row>
    <row r="46" spans="1:102" ht="12.75">
      <c r="A46" s="277" t="s">
        <v>283</v>
      </c>
      <c r="B46" s="292">
        <f>IF('WPF styczeń 2013'!I50=SUM(G46+I46+K46+M46+O46+Q46+S46+U46+W46+Y46+AA46+AC46+AE46+AG46),SUM(G46+I46+K46+M46+O46+Q46+S46+U46+W46+Y46+AA46+AC46+AE46+AG46),"popraw")</f>
        <v>11300000</v>
      </c>
      <c r="C46" s="293">
        <v>0</v>
      </c>
      <c r="D46" s="294">
        <v>0</v>
      </c>
      <c r="E46" s="281">
        <f t="shared" ref="E46:E57" si="92">G46+I46+K46+M46+O46+Q46+S46+U46+W46+Y46+AA46+AC46+AE46+AG46</f>
        <v>11300000</v>
      </c>
      <c r="F46" s="282">
        <f t="shared" ref="F46:F57" si="93">H46+J46+L46+N46+P46+R46+T46+V46+X46+Z46+AB46+AD46+AF46+AH46</f>
        <v>4457969.4763636375</v>
      </c>
      <c r="G46" s="475"/>
      <c r="H46" s="476"/>
      <c r="I46" s="475"/>
      <c r="J46" s="476"/>
      <c r="K46" s="293">
        <v>0</v>
      </c>
      <c r="L46" s="294">
        <f>'obligacje 2013'!Y15</f>
        <v>535003.67636363651</v>
      </c>
      <c r="M46" s="293"/>
      <c r="N46" s="294">
        <f>'obligacje 2013'!Y27</f>
        <v>535003.68000000005</v>
      </c>
      <c r="O46" s="293">
        <v>0</v>
      </c>
      <c r="P46" s="294">
        <f>'obligacje 2013'!Y39</f>
        <v>535003.68000000005</v>
      </c>
      <c r="Q46" s="293">
        <v>0</v>
      </c>
      <c r="R46" s="294">
        <f>'obligacje 2013'!Y51</f>
        <v>535003.68000000005</v>
      </c>
      <c r="S46" s="293">
        <v>0</v>
      </c>
      <c r="T46" s="294">
        <f>'obligacje 2013'!Y63</f>
        <v>535003.68000000005</v>
      </c>
      <c r="U46" s="293"/>
      <c r="V46" s="294">
        <f>'obligacje 2013'!Y75</f>
        <v>535003.68000000005</v>
      </c>
      <c r="W46" s="294">
        <v>1300000</v>
      </c>
      <c r="X46" s="294">
        <f>'obligacje 2013'!Y87</f>
        <v>529874.59000000008</v>
      </c>
      <c r="Y46" s="293">
        <v>4000000</v>
      </c>
      <c r="Z46" s="294">
        <f>'obligacje 2013'!Y99</f>
        <v>457672.77999999991</v>
      </c>
      <c r="AA46" s="293">
        <v>6000000</v>
      </c>
      <c r="AB46" s="294">
        <f>'obligacje 2013'!Y111</f>
        <v>260400.03000000006</v>
      </c>
      <c r="AC46" s="293"/>
      <c r="AD46" s="294">
        <f>'obligacje 2013'!Y123</f>
        <v>0</v>
      </c>
      <c r="AE46" s="293"/>
      <c r="AF46" s="294">
        <f>'obligacje 2013'!Y135</f>
        <v>0</v>
      </c>
      <c r="AG46" s="293"/>
      <c r="AH46" s="294">
        <f>'obligacje 2013'!Y142</f>
        <v>0</v>
      </c>
      <c r="AI46" s="293"/>
      <c r="AJ46" s="294">
        <f>'obligacje 2013'!AA142</f>
        <v>0</v>
      </c>
      <c r="AK46" s="293"/>
      <c r="AL46" s="294">
        <f>'obligacje 2013'!AC142</f>
        <v>0</v>
      </c>
      <c r="AM46" s="293"/>
      <c r="AN46" s="294">
        <f>'obligacje 2013'!AE142</f>
        <v>0</v>
      </c>
      <c r="AO46" s="293"/>
      <c r="AP46" s="294">
        <f>'obligacje 2013'!AG142</f>
        <v>0</v>
      </c>
      <c r="AQ46" s="293"/>
      <c r="AR46" s="294">
        <f>'obligacje 2013'!AI142</f>
        <v>0</v>
      </c>
      <c r="AU46" s="277" t="str">
        <f t="shared" si="87"/>
        <v>Obligacje 2013</v>
      </c>
      <c r="AV46" s="278"/>
      <c r="AW46" s="1524"/>
      <c r="AX46" s="1525"/>
      <c r="AY46" s="1526"/>
      <c r="AZ46" s="300">
        <f>SUM($K46,$M46,$O46,$Q46,$S46,$U46,$W46,$Y46,$AA46,$AC46,$AE46,$AG46)</f>
        <v>11300000</v>
      </c>
      <c r="BA46" s="287">
        <f>SUM($L46,$N46,$P46,$R46,$T46,$V46,$X46,$Z46,$AB46,$AD46,$AF46,$AH46)</f>
        <v>4457969.4763636375</v>
      </c>
      <c r="BB46" s="280">
        <f>SUM(AZ46,BA46)</f>
        <v>15757969.476363637</v>
      </c>
      <c r="BC46" s="213">
        <f>SUM($M46,$O46,$Q46,$S46,$U46,$W46,$Y46,$AA46,$AC46,$AE46,$AG46)</f>
        <v>11300000</v>
      </c>
      <c r="BD46" s="287">
        <f>SUM($N46,$P46,$R46,$T46,$V46,$X46,$Z46,$AB46,$AD46,$AF46,$AH46)</f>
        <v>3922965.8000000003</v>
      </c>
      <c r="BE46" s="280">
        <f>SUM(BC46,BD46)</f>
        <v>15222965.800000001</v>
      </c>
      <c r="BF46" s="213">
        <f>SUM($O46,$Q46,$S46,$U46,$W46,$Y46,$AA46,$AC46,$AE46,$AG46)</f>
        <v>11300000</v>
      </c>
      <c r="BG46" s="287">
        <f>SUM($P46,$R46,$T46,$V46,$X46,$Z46,$AB46,$AD46,$AF46,$AH46)</f>
        <v>3387962.1200000006</v>
      </c>
      <c r="BH46" s="280">
        <f>SUM(BF46,BG46)</f>
        <v>14687962.120000001</v>
      </c>
      <c r="BI46" s="213">
        <f>SUM($Q46,$S46,$U46,$W46,$Y46,$AA46,$AC46,$AE46,$AG46)</f>
        <v>11300000</v>
      </c>
      <c r="BJ46" s="287">
        <f>SUM($R46,$T46,$V46,$X46,$Z46,$AB46,$AD46,$AF46,$AH46)</f>
        <v>2852958.44</v>
      </c>
      <c r="BK46" s="280">
        <f>SUM(BI46,BJ46)</f>
        <v>14152958.439999999</v>
      </c>
      <c r="BL46" s="213">
        <f>SUM($S46,$U46,$W46,$Y46,$AA46,$AC46,$AE46,$AG46)</f>
        <v>11300000</v>
      </c>
      <c r="BM46" s="287">
        <f>SUM($T46,$V46,$X46,$Z46,$AB46,$AD46,$AF46,$AH46)</f>
        <v>2317954.7600000002</v>
      </c>
      <c r="BN46" s="280">
        <f>SUM(BL46,BM46)</f>
        <v>13617954.76</v>
      </c>
      <c r="BO46" s="213">
        <f t="shared" ref="BO46:BO51" si="94">SUM($U46,$W46,$Y46,$AA46,$AC46,$AE46,$AG46)</f>
        <v>11300000</v>
      </c>
      <c r="BP46" s="287">
        <f t="shared" ref="BP46:BP51" si="95">SUM($V46,$X46,$Z46,$AB46,$AD46,$AF46,$AH46)</f>
        <v>1782951.0799999998</v>
      </c>
      <c r="BQ46" s="280">
        <f>SUM(BO46,BP46)</f>
        <v>13082951.08</v>
      </c>
      <c r="BR46" s="213">
        <f t="shared" ref="BR46:BR52" si="96">SUM($W46,$Y46,$AA46,$AC46,$AE46,$AG46)</f>
        <v>11300000</v>
      </c>
      <c r="BS46" s="287">
        <f t="shared" ref="BS46:BS52" si="97">SUM($X46,$Z46,$AB46,$AD46,$AF46,$AH46)</f>
        <v>1247947.4000000001</v>
      </c>
      <c r="BT46" s="280">
        <f>SUM(BR46,BS46)</f>
        <v>12547947.4</v>
      </c>
      <c r="BU46" s="213">
        <f t="shared" ref="BU46:BU53" si="98">SUM($Y46,$AA46,$AC46,$AE46,$AG46)</f>
        <v>10000000</v>
      </c>
      <c r="BV46" s="287">
        <f t="shared" ref="BV46:BV53" si="99">SUM($Z46,$AB46,$AD46,$AF46,$AH46)</f>
        <v>718072.80999999994</v>
      </c>
      <c r="BW46" s="280">
        <f>SUM(BU46,BV46)</f>
        <v>10718072.810000001</v>
      </c>
      <c r="BX46" s="213">
        <f t="shared" ref="BX46:BX54" si="100">SUM($AA46,$AC46,$AE46,$AG46)</f>
        <v>6000000</v>
      </c>
      <c r="BY46" s="287">
        <f t="shared" ref="BY46:BY54" si="101">SUM($AB46,$AD46,$AF46,$AH46)</f>
        <v>260400.03000000006</v>
      </c>
      <c r="BZ46" s="280">
        <f>SUM(BX46,BY46)</f>
        <v>6260400.0300000003</v>
      </c>
      <c r="CA46" s="287">
        <f t="shared" ref="CA46:CA55" si="102">SUM($AC46,$AE46,$AG46)</f>
        <v>0</v>
      </c>
      <c r="CB46" s="287">
        <f t="shared" ref="CB46:CB55" si="103">SUM($AD46,$AF46,$AH46)</f>
        <v>0</v>
      </c>
      <c r="CC46" s="280">
        <f>SUM(CA46,CB46)</f>
        <v>0</v>
      </c>
      <c r="CD46" s="287">
        <f t="shared" ref="CD46:CD56" si="104">SUM($AE46,$AG46)</f>
        <v>0</v>
      </c>
      <c r="CE46" s="287">
        <f t="shared" ref="CE46:CE56" si="105">SUM($AF46,$AH46)</f>
        <v>0</v>
      </c>
      <c r="CF46" s="280">
        <f>SUM(CD46,CE46)</f>
        <v>0</v>
      </c>
      <c r="CG46" s="287">
        <f t="shared" ref="CG46:CG56" si="106">SUM($AE46,$AG46)</f>
        <v>0</v>
      </c>
      <c r="CH46" s="287">
        <f t="shared" ref="CH46:CH56" si="107">SUM($AF46,$AH46)</f>
        <v>0</v>
      </c>
      <c r="CI46" s="280">
        <f>SUM(CG46,CH46)</f>
        <v>0</v>
      </c>
      <c r="CJ46" s="287">
        <f t="shared" ref="CJ46:CJ56" si="108">SUM($AE46,$AG46)</f>
        <v>0</v>
      </c>
      <c r="CK46" s="287">
        <f t="shared" ref="CK46:CK56" si="109">SUM($AF46,$AH46)</f>
        <v>0</v>
      </c>
      <c r="CL46" s="280">
        <f>SUM(CJ46,CK46)</f>
        <v>0</v>
      </c>
      <c r="CM46" s="287">
        <f t="shared" ref="CM46:CM56" si="110">SUM($AE46,$AG46)</f>
        <v>0</v>
      </c>
      <c r="CN46" s="287">
        <f t="shared" ref="CN46:CN56" si="111">SUM($AF46,$AH46)</f>
        <v>0</v>
      </c>
      <c r="CO46" s="280">
        <f>SUM(CM46,CN46)</f>
        <v>0</v>
      </c>
      <c r="CP46" s="287">
        <f t="shared" ref="CP46:CP56" si="112">SUM($AE46,$AG46)</f>
        <v>0</v>
      </c>
      <c r="CQ46" s="287">
        <f t="shared" ref="CQ46:CQ56" si="113">SUM($AF46,$AH46)</f>
        <v>0</v>
      </c>
      <c r="CR46" s="280">
        <f>SUM(CP46,CQ46)</f>
        <v>0</v>
      </c>
      <c r="CS46" s="287">
        <f t="shared" ref="CS46:CS56" si="114">SUM($AE46,$AG46)</f>
        <v>0</v>
      </c>
      <c r="CT46" s="287">
        <f t="shared" ref="CT46:CT56" si="115">SUM($AF46,$AH46)</f>
        <v>0</v>
      </c>
      <c r="CU46" s="280">
        <f>SUM(CS46,CT46)</f>
        <v>0</v>
      </c>
      <c r="CV46" s="287">
        <f t="shared" ref="CV46:CV56" si="116">SUM($AE46,$AG46)</f>
        <v>0</v>
      </c>
      <c r="CW46" s="287">
        <f t="shared" ref="CW46:CW56" si="117">SUM($AF46,$AH46)</f>
        <v>0</v>
      </c>
      <c r="CX46" s="280">
        <f>SUM(CV46,CW46)</f>
        <v>0</v>
      </c>
    </row>
    <row r="47" spans="1:102" ht="12.75">
      <c r="A47" s="291" t="s">
        <v>284</v>
      </c>
      <c r="B47" s="292">
        <f>IF('WPF styczeń 2013'!J50=SUM(G47+I47+K47+M47+O47+Q47+S47+U47+W47+Y47+AA47+AC47+AE47+AG47),SUM(G47+I47+K47+M47+O47+Q47+S47+U47+W47+Y47+AA47+AC47+AE47+AG47),"popraw")</f>
        <v>0</v>
      </c>
      <c r="C47" s="293">
        <v>0</v>
      </c>
      <c r="D47" s="294">
        <v>0</v>
      </c>
      <c r="E47" s="281">
        <f t="shared" si="92"/>
        <v>0</v>
      </c>
      <c r="F47" s="282">
        <f t="shared" si="93"/>
        <v>0</v>
      </c>
      <c r="G47" s="475"/>
      <c r="H47" s="476"/>
      <c r="I47" s="475"/>
      <c r="J47" s="476"/>
      <c r="K47" s="475"/>
      <c r="L47" s="476"/>
      <c r="M47" s="293"/>
      <c r="N47" s="294">
        <f>'obligacje 2014'!Y27</f>
        <v>0</v>
      </c>
      <c r="O47" s="293"/>
      <c r="P47" s="294">
        <f>'obligacje 2014'!Y39</f>
        <v>0</v>
      </c>
      <c r="Q47" s="293"/>
      <c r="R47" s="294">
        <f>'obligacje 2014'!Y51</f>
        <v>0</v>
      </c>
      <c r="S47" s="293"/>
      <c r="T47" s="294">
        <f>'obligacje 2014'!Y63</f>
        <v>0</v>
      </c>
      <c r="U47" s="293"/>
      <c r="V47" s="294">
        <f>'obligacje 2014'!Y75</f>
        <v>0</v>
      </c>
      <c r="W47" s="293"/>
      <c r="X47" s="294">
        <f>'obligacje 2014'!Y87</f>
        <v>0</v>
      </c>
      <c r="Y47" s="293">
        <v>0</v>
      </c>
      <c r="Z47" s="294">
        <f>'obligacje 2014'!Y99</f>
        <v>0</v>
      </c>
      <c r="AA47" s="293"/>
      <c r="AB47" s="294">
        <f>'obligacje 2014'!Y111</f>
        <v>0</v>
      </c>
      <c r="AC47" s="293"/>
      <c r="AD47" s="294">
        <f>'obligacje 2014'!Y123</f>
        <v>0</v>
      </c>
      <c r="AE47" s="293"/>
      <c r="AF47" s="294">
        <f>'obligacje 2014'!Y135</f>
        <v>0</v>
      </c>
      <c r="AG47" s="293"/>
      <c r="AH47" s="294">
        <f>'obligacje 2014'!Y142</f>
        <v>0</v>
      </c>
      <c r="AI47" s="293"/>
      <c r="AJ47" s="294">
        <f>'obligacje 2014'!AA142</f>
        <v>0</v>
      </c>
      <c r="AK47" s="293"/>
      <c r="AL47" s="294">
        <f>'obligacje 2014'!AC142</f>
        <v>0</v>
      </c>
      <c r="AM47" s="293"/>
      <c r="AN47" s="294">
        <f>'obligacje 2014'!AE142</f>
        <v>0</v>
      </c>
      <c r="AO47" s="293"/>
      <c r="AP47" s="294">
        <f>'obligacje 2014'!AG142</f>
        <v>0</v>
      </c>
      <c r="AQ47" s="293"/>
      <c r="AR47" s="294">
        <f>'obligacje 2014'!AI142</f>
        <v>0</v>
      </c>
      <c r="AU47" s="277" t="str">
        <f t="shared" si="87"/>
        <v>Obligacje 2014</v>
      </c>
      <c r="AV47" s="278"/>
      <c r="AW47" s="1524"/>
      <c r="AX47" s="1525"/>
      <c r="AY47" s="1526"/>
      <c r="AZ47" s="1530"/>
      <c r="BA47" s="1531"/>
      <c r="BB47" s="1532"/>
      <c r="BC47" s="213">
        <f>SUM($M47,$O47,$Q47,$S47,$U47,$W47,$Y47,$AA47,$AC47,$AE47,$AG47)</f>
        <v>0</v>
      </c>
      <c r="BD47" s="287">
        <f>SUM($N47,$P47,$R47,$T47,$V47,$X47,$Z47,$AB47,$AD47,$AF47,$AH47)</f>
        <v>0</v>
      </c>
      <c r="BE47" s="280">
        <f>SUM(BC47,BD47)</f>
        <v>0</v>
      </c>
      <c r="BF47" s="213">
        <f>SUM($O47,$Q47,$S47,$U47,$W47,$Y47,$AA47,$AC47,$AE47,$AG47)</f>
        <v>0</v>
      </c>
      <c r="BG47" s="287">
        <f>SUM($P47,$R47,$T47,$V47,$X47,$Z47,$AB47,$AD47,$AF47,$AH47)</f>
        <v>0</v>
      </c>
      <c r="BH47" s="280">
        <f>SUM(BF47,BG47)</f>
        <v>0</v>
      </c>
      <c r="BI47" s="213">
        <f>SUM($Q47,$S47,$U47,$W47,$Y47,$AA47,$AC47,$AE47,$AG47)</f>
        <v>0</v>
      </c>
      <c r="BJ47" s="287">
        <f>SUM($R47,$T47,$V47,$X47,$Z47,$AB47,$AD47,$AF47,$AH47)</f>
        <v>0</v>
      </c>
      <c r="BK47" s="280">
        <f>SUM(BI47,BJ47)</f>
        <v>0</v>
      </c>
      <c r="BL47" s="213">
        <f>SUM($S47,$U47,$W47,$Y47,$AA47,$AC47,$AE47,$AG47)</f>
        <v>0</v>
      </c>
      <c r="BM47" s="287">
        <f>SUM($T47,$V47,$X47,$Z47,$AB47,$AD47,$AF47,$AH47)</f>
        <v>0</v>
      </c>
      <c r="BN47" s="280">
        <f>SUM(BL47,BM47)</f>
        <v>0</v>
      </c>
      <c r="BO47" s="213">
        <f t="shared" si="94"/>
        <v>0</v>
      </c>
      <c r="BP47" s="287">
        <f t="shared" si="95"/>
        <v>0</v>
      </c>
      <c r="BQ47" s="280">
        <f>SUM(BO47,BP47)</f>
        <v>0</v>
      </c>
      <c r="BR47" s="213">
        <f t="shared" si="96"/>
        <v>0</v>
      </c>
      <c r="BS47" s="287">
        <f t="shared" si="97"/>
        <v>0</v>
      </c>
      <c r="BT47" s="280">
        <f>SUM(BR47,BS47)</f>
        <v>0</v>
      </c>
      <c r="BU47" s="213">
        <f t="shared" si="98"/>
        <v>0</v>
      </c>
      <c r="BV47" s="287">
        <f t="shared" si="99"/>
        <v>0</v>
      </c>
      <c r="BW47" s="280">
        <f>SUM(BU47,BV47)</f>
        <v>0</v>
      </c>
      <c r="BX47" s="213">
        <f t="shared" si="100"/>
        <v>0</v>
      </c>
      <c r="BY47" s="287">
        <f t="shared" si="101"/>
        <v>0</v>
      </c>
      <c r="BZ47" s="280">
        <f>SUM(BX47,BY47)</f>
        <v>0</v>
      </c>
      <c r="CA47" s="287">
        <f t="shared" si="102"/>
        <v>0</v>
      </c>
      <c r="CB47" s="287">
        <f t="shared" si="103"/>
        <v>0</v>
      </c>
      <c r="CC47" s="280">
        <f>SUM(CA47,CB47)</f>
        <v>0</v>
      </c>
      <c r="CD47" s="287">
        <f t="shared" si="104"/>
        <v>0</v>
      </c>
      <c r="CE47" s="287">
        <f t="shared" si="105"/>
        <v>0</v>
      </c>
      <c r="CF47" s="280">
        <f>SUM(CD47,CE47)</f>
        <v>0</v>
      </c>
      <c r="CG47" s="287">
        <f t="shared" si="106"/>
        <v>0</v>
      </c>
      <c r="CH47" s="287">
        <f t="shared" si="107"/>
        <v>0</v>
      </c>
      <c r="CI47" s="280">
        <f>SUM(CG47,CH47)</f>
        <v>0</v>
      </c>
      <c r="CJ47" s="287">
        <f t="shared" si="108"/>
        <v>0</v>
      </c>
      <c r="CK47" s="287">
        <f t="shared" si="109"/>
        <v>0</v>
      </c>
      <c r="CL47" s="280">
        <f>SUM(CJ47,CK47)</f>
        <v>0</v>
      </c>
      <c r="CM47" s="287">
        <f t="shared" si="110"/>
        <v>0</v>
      </c>
      <c r="CN47" s="287">
        <f t="shared" si="111"/>
        <v>0</v>
      </c>
      <c r="CO47" s="280">
        <f>SUM(CM47,CN47)</f>
        <v>0</v>
      </c>
      <c r="CP47" s="287">
        <f t="shared" si="112"/>
        <v>0</v>
      </c>
      <c r="CQ47" s="287">
        <f t="shared" si="113"/>
        <v>0</v>
      </c>
      <c r="CR47" s="280">
        <f>SUM(CP47,CQ47)</f>
        <v>0</v>
      </c>
      <c r="CS47" s="287">
        <f t="shared" si="114"/>
        <v>0</v>
      </c>
      <c r="CT47" s="287">
        <f t="shared" si="115"/>
        <v>0</v>
      </c>
      <c r="CU47" s="280">
        <f>SUM(CS47,CT47)</f>
        <v>0</v>
      </c>
      <c r="CV47" s="287">
        <f t="shared" si="116"/>
        <v>0</v>
      </c>
      <c r="CW47" s="287">
        <f t="shared" si="117"/>
        <v>0</v>
      </c>
      <c r="CX47" s="280">
        <f>SUM(CV47,CW47)</f>
        <v>0</v>
      </c>
    </row>
    <row r="48" spans="1:102" ht="12.75">
      <c r="A48" s="277" t="s">
        <v>285</v>
      </c>
      <c r="B48" s="292">
        <f>IF(SUM(G48+I48+K48+M48+O48+Q48+S48+U48+W48+Y48+AA48+AC48+AE48+AG48)='WPF styczeń 2013'!K50,SUM(G48+I48+K48+M48+O48+Q48+S48+U48+W48+Y48+AA48+AC48+AE48+AG48),"popraw")</f>
        <v>0</v>
      </c>
      <c r="C48" s="293"/>
      <c r="D48" s="294"/>
      <c r="E48" s="281">
        <f t="shared" si="92"/>
        <v>0</v>
      </c>
      <c r="F48" s="282">
        <f t="shared" si="93"/>
        <v>0</v>
      </c>
      <c r="G48" s="475"/>
      <c r="H48" s="476"/>
      <c r="I48" s="475"/>
      <c r="J48" s="476"/>
      <c r="K48" s="475"/>
      <c r="L48" s="476"/>
      <c r="M48" s="475"/>
      <c r="N48" s="476"/>
      <c r="O48" s="293"/>
      <c r="P48" s="294">
        <f>'obligacje 2015'!Y39</f>
        <v>0</v>
      </c>
      <c r="Q48" s="293"/>
      <c r="R48" s="294">
        <f>'obligacje 2015'!Y51</f>
        <v>0</v>
      </c>
      <c r="S48" s="293"/>
      <c r="T48" s="294">
        <f>'obligacje 2015'!Y63</f>
        <v>0</v>
      </c>
      <c r="U48" s="293"/>
      <c r="V48" s="294">
        <f>'obligacje 2015'!Y75</f>
        <v>0</v>
      </c>
      <c r="W48" s="293">
        <v>0</v>
      </c>
      <c r="X48" s="294">
        <f>'obligacje 2015'!Y87</f>
        <v>0</v>
      </c>
      <c r="Y48" s="293">
        <v>0</v>
      </c>
      <c r="Z48" s="294">
        <f>'obligacje 2015'!Y99</f>
        <v>0</v>
      </c>
      <c r="AA48" s="293"/>
      <c r="AB48" s="294">
        <f>'obligacje 2015'!Y111</f>
        <v>0</v>
      </c>
      <c r="AC48" s="293"/>
      <c r="AD48" s="294">
        <f>'obligacje 2015'!Y123</f>
        <v>0</v>
      </c>
      <c r="AE48" s="293"/>
      <c r="AF48" s="294">
        <f>'obligacje 2015'!Y135</f>
        <v>0</v>
      </c>
      <c r="AG48" s="293"/>
      <c r="AH48" s="294">
        <f>'obligacje 2015'!Y142</f>
        <v>0</v>
      </c>
      <c r="AI48" s="293"/>
      <c r="AJ48" s="294">
        <f>'obligacje 2015'!AA142</f>
        <v>0</v>
      </c>
      <c r="AK48" s="293"/>
      <c r="AL48" s="294">
        <f>'obligacje 2015'!AC142</f>
        <v>0</v>
      </c>
      <c r="AM48" s="293"/>
      <c r="AN48" s="294">
        <f>'obligacje 2015'!AE142</f>
        <v>0</v>
      </c>
      <c r="AO48" s="293"/>
      <c r="AP48" s="294">
        <f>'obligacje 2015'!AG142</f>
        <v>0</v>
      </c>
      <c r="AQ48" s="293"/>
      <c r="AR48" s="294">
        <f>'obligacje 2015'!AI142</f>
        <v>0</v>
      </c>
      <c r="AU48" s="277" t="str">
        <f t="shared" si="87"/>
        <v>Obligacje 2015</v>
      </c>
      <c r="AV48" s="278"/>
      <c r="AW48" s="1524"/>
      <c r="AX48" s="1525"/>
      <c r="AY48" s="1526"/>
      <c r="AZ48" s="1524"/>
      <c r="BA48" s="1525"/>
      <c r="BB48" s="1526"/>
      <c r="BC48" s="1530"/>
      <c r="BD48" s="1531"/>
      <c r="BE48" s="1532"/>
      <c r="BF48" s="213">
        <f>SUM($O48,$Q48,$S48,$U48,$W48,$Y48,$AA48,$AC48,$AE48,$AG48)</f>
        <v>0</v>
      </c>
      <c r="BG48" s="287">
        <f>SUM($P48,$R48,$T48,$V48,$X48,$Z48,$AB48,$AD48,$AF48,$AH48)</f>
        <v>0</v>
      </c>
      <c r="BH48" s="280">
        <f>SUM(BF48,BG48)</f>
        <v>0</v>
      </c>
      <c r="BI48" s="213">
        <f>SUM($Q48,$S48,$U48,$W48,$Y48,$AA48,$AC48,$AE48,$AG48)</f>
        <v>0</v>
      </c>
      <c r="BJ48" s="287">
        <f>SUM($R48,$T48,$V48,$X48,$Z48,$AB48,$AD48,$AF48,$AH48)</f>
        <v>0</v>
      </c>
      <c r="BK48" s="280">
        <f>SUM(BI48,BJ48)</f>
        <v>0</v>
      </c>
      <c r="BL48" s="213">
        <f>SUM($S48,$U48,$W48,$Y48,$AA48,$AC48,$AE48,$AG48)</f>
        <v>0</v>
      </c>
      <c r="BM48" s="287">
        <f>SUM($T48,$V48,$X48,$Z48,$AB48,$AD48,$AF48,$AH48)</f>
        <v>0</v>
      </c>
      <c r="BN48" s="280">
        <f>SUM(BL48,BM48)</f>
        <v>0</v>
      </c>
      <c r="BO48" s="213">
        <f t="shared" si="94"/>
        <v>0</v>
      </c>
      <c r="BP48" s="287">
        <f t="shared" si="95"/>
        <v>0</v>
      </c>
      <c r="BQ48" s="280">
        <f>SUM(BO48,BP48)</f>
        <v>0</v>
      </c>
      <c r="BR48" s="213">
        <f t="shared" si="96"/>
        <v>0</v>
      </c>
      <c r="BS48" s="287">
        <f t="shared" si="97"/>
        <v>0</v>
      </c>
      <c r="BT48" s="280">
        <f>SUM(BR48,BS48)</f>
        <v>0</v>
      </c>
      <c r="BU48" s="213">
        <f t="shared" si="98"/>
        <v>0</v>
      </c>
      <c r="BV48" s="287">
        <f t="shared" si="99"/>
        <v>0</v>
      </c>
      <c r="BW48" s="280">
        <f>SUM(BU48,BV48)</f>
        <v>0</v>
      </c>
      <c r="BX48" s="213">
        <f t="shared" si="100"/>
        <v>0</v>
      </c>
      <c r="BY48" s="287">
        <f t="shared" si="101"/>
        <v>0</v>
      </c>
      <c r="BZ48" s="280">
        <f>SUM(BX48,BY48)</f>
        <v>0</v>
      </c>
      <c r="CA48" s="287">
        <f t="shared" si="102"/>
        <v>0</v>
      </c>
      <c r="CB48" s="287">
        <f t="shared" si="103"/>
        <v>0</v>
      </c>
      <c r="CC48" s="280">
        <f>SUM(CA48,CB48)</f>
        <v>0</v>
      </c>
      <c r="CD48" s="287">
        <f t="shared" si="104"/>
        <v>0</v>
      </c>
      <c r="CE48" s="287">
        <f t="shared" si="105"/>
        <v>0</v>
      </c>
      <c r="CF48" s="280">
        <f>SUM(CD48,CE48)</f>
        <v>0</v>
      </c>
      <c r="CG48" s="287">
        <f t="shared" si="106"/>
        <v>0</v>
      </c>
      <c r="CH48" s="287">
        <f t="shared" si="107"/>
        <v>0</v>
      </c>
      <c r="CI48" s="280">
        <f>SUM(CG48,CH48)</f>
        <v>0</v>
      </c>
      <c r="CJ48" s="287">
        <f t="shared" si="108"/>
        <v>0</v>
      </c>
      <c r="CK48" s="287">
        <f t="shared" si="109"/>
        <v>0</v>
      </c>
      <c r="CL48" s="280">
        <f>SUM(CJ48,CK48)</f>
        <v>0</v>
      </c>
      <c r="CM48" s="287">
        <f t="shared" si="110"/>
        <v>0</v>
      </c>
      <c r="CN48" s="287">
        <f t="shared" si="111"/>
        <v>0</v>
      </c>
      <c r="CO48" s="280">
        <f>SUM(CM48,CN48)</f>
        <v>0</v>
      </c>
      <c r="CP48" s="287">
        <f t="shared" si="112"/>
        <v>0</v>
      </c>
      <c r="CQ48" s="287">
        <f t="shared" si="113"/>
        <v>0</v>
      </c>
      <c r="CR48" s="280">
        <f>SUM(CP48,CQ48)</f>
        <v>0</v>
      </c>
      <c r="CS48" s="287">
        <f t="shared" si="114"/>
        <v>0</v>
      </c>
      <c r="CT48" s="287">
        <f t="shared" si="115"/>
        <v>0</v>
      </c>
      <c r="CU48" s="280">
        <f>SUM(CS48,CT48)</f>
        <v>0</v>
      </c>
      <c r="CV48" s="287">
        <f t="shared" si="116"/>
        <v>0</v>
      </c>
      <c r="CW48" s="287">
        <f t="shared" si="117"/>
        <v>0</v>
      </c>
      <c r="CX48" s="280">
        <f>SUM(CV48,CW48)</f>
        <v>0</v>
      </c>
    </row>
    <row r="49" spans="1:102" ht="12.75">
      <c r="A49" s="291" t="s">
        <v>286</v>
      </c>
      <c r="B49" s="292">
        <f>IF(SUM(G49+I49+K49+M49+O49+Q49+S49+U49+W49+Y49+AA49+AC49+AE49+AG49)='WPF styczeń 2013'!L50,SUM(G49+I49+K49+M49+O49+Q49+S49+U49+W49+Y49+AA49+AC49+AE49+AG49),"popraw")</f>
        <v>0</v>
      </c>
      <c r="C49" s="293"/>
      <c r="D49" s="294"/>
      <c r="E49" s="281">
        <f t="shared" si="92"/>
        <v>0</v>
      </c>
      <c r="F49" s="282">
        <f t="shared" si="93"/>
        <v>0</v>
      </c>
      <c r="G49" s="475"/>
      <c r="H49" s="476"/>
      <c r="I49" s="475"/>
      <c r="J49" s="476"/>
      <c r="K49" s="475"/>
      <c r="L49" s="476"/>
      <c r="M49" s="475"/>
      <c r="N49" s="476"/>
      <c r="O49" s="475"/>
      <c r="P49" s="476"/>
      <c r="Q49" s="293"/>
      <c r="R49" s="294">
        <f>'obligacje 2016'!Y51</f>
        <v>0</v>
      </c>
      <c r="S49" s="293"/>
      <c r="T49" s="294">
        <f>'obligacje 2016'!Y63</f>
        <v>0</v>
      </c>
      <c r="U49" s="293"/>
      <c r="V49" s="294">
        <f>'obligacje 2016'!Y75</f>
        <v>0</v>
      </c>
      <c r="W49" s="293">
        <v>0</v>
      </c>
      <c r="X49" s="294">
        <f>'obligacje 2016'!Y87</f>
        <v>0</v>
      </c>
      <c r="Y49" s="293">
        <v>0</v>
      </c>
      <c r="Z49" s="293">
        <v>0</v>
      </c>
      <c r="AA49" s="293">
        <v>0</v>
      </c>
      <c r="AB49" s="293">
        <v>0</v>
      </c>
      <c r="AC49" s="293"/>
      <c r="AD49" s="294">
        <f>'obligacje 2016'!Y123</f>
        <v>0</v>
      </c>
      <c r="AE49" s="293"/>
      <c r="AF49" s="294">
        <f>'obligacje 2016'!Y135</f>
        <v>0</v>
      </c>
      <c r="AG49" s="293"/>
      <c r="AH49" s="294">
        <f>'obligacje 2016'!Y142</f>
        <v>0</v>
      </c>
      <c r="AI49" s="293"/>
      <c r="AJ49" s="294">
        <f>'obligacje 2016'!AA142</f>
        <v>0</v>
      </c>
      <c r="AK49" s="293"/>
      <c r="AL49" s="294">
        <f>'obligacje 2016'!AC142</f>
        <v>0</v>
      </c>
      <c r="AM49" s="293"/>
      <c r="AN49" s="294">
        <f>'obligacje 2016'!AE142</f>
        <v>0</v>
      </c>
      <c r="AO49" s="293"/>
      <c r="AP49" s="294">
        <f>'obligacje 2016'!AG142</f>
        <v>0</v>
      </c>
      <c r="AQ49" s="293"/>
      <c r="AR49" s="294">
        <f>'obligacje 2016'!AI142</f>
        <v>0</v>
      </c>
      <c r="AU49" s="277" t="str">
        <f t="shared" si="87"/>
        <v>Obligacje 2016</v>
      </c>
      <c r="AV49" s="278"/>
      <c r="AW49" s="1524"/>
      <c r="AX49" s="1525"/>
      <c r="AY49" s="1526"/>
      <c r="AZ49" s="1524"/>
      <c r="BA49" s="1525"/>
      <c r="BB49" s="1526"/>
      <c r="BC49" s="1524"/>
      <c r="BD49" s="1525"/>
      <c r="BE49" s="1526"/>
      <c r="BF49" s="1530"/>
      <c r="BG49" s="1531"/>
      <c r="BH49" s="1532"/>
      <c r="BI49" s="213">
        <f>SUM($Q49,$S49,$U49,$W49,$Y49,$AA49,$AC49,$AE49,$AG49)</f>
        <v>0</v>
      </c>
      <c r="BJ49" s="287">
        <f>SUM($R49,$T49,$V49,$X49,$Z49,$AB49,$AD49,$AF49,$AH49)</f>
        <v>0</v>
      </c>
      <c r="BK49" s="280">
        <f>SUM(BI49,BJ49)</f>
        <v>0</v>
      </c>
      <c r="BL49" s="213">
        <f>SUM($S49,$U49,$W49,$Y49,$AA49,$AC49,$AE49,$AG49)</f>
        <v>0</v>
      </c>
      <c r="BM49" s="287">
        <f>SUM($T49,$V49,$X49,$Z49,$AB49,$AD49,$AF49,$AH49)</f>
        <v>0</v>
      </c>
      <c r="BN49" s="280">
        <f t="shared" ref="BN49:BN50" si="118">SUM(BL49,BM49)</f>
        <v>0</v>
      </c>
      <c r="BO49" s="213">
        <f t="shared" si="94"/>
        <v>0</v>
      </c>
      <c r="BP49" s="287">
        <f t="shared" si="95"/>
        <v>0</v>
      </c>
      <c r="BQ49" s="280">
        <f t="shared" ref="BQ49:BQ51" si="119">SUM(BO49,BP49)</f>
        <v>0</v>
      </c>
      <c r="BR49" s="213">
        <f t="shared" si="96"/>
        <v>0</v>
      </c>
      <c r="BS49" s="287">
        <f t="shared" si="97"/>
        <v>0</v>
      </c>
      <c r="BT49" s="280">
        <f t="shared" ref="BT49:BT52" si="120">SUM(BR49,BS49)</f>
        <v>0</v>
      </c>
      <c r="BU49" s="213">
        <f t="shared" si="98"/>
        <v>0</v>
      </c>
      <c r="BV49" s="287">
        <f t="shared" si="99"/>
        <v>0</v>
      </c>
      <c r="BW49" s="280">
        <f t="shared" ref="BW49:BW53" si="121">SUM(BU49,BV49)</f>
        <v>0</v>
      </c>
      <c r="BX49" s="213">
        <f t="shared" si="100"/>
        <v>0</v>
      </c>
      <c r="BY49" s="287">
        <f t="shared" si="101"/>
        <v>0</v>
      </c>
      <c r="BZ49" s="280">
        <f t="shared" ref="BZ49:BZ54" si="122">SUM(BX49,BY49)</f>
        <v>0</v>
      </c>
      <c r="CA49" s="287">
        <f t="shared" si="102"/>
        <v>0</v>
      </c>
      <c r="CB49" s="287">
        <f t="shared" si="103"/>
        <v>0</v>
      </c>
      <c r="CC49" s="280">
        <f t="shared" ref="CC49:CC55" si="123">SUM(CA49,CB49)</f>
        <v>0</v>
      </c>
      <c r="CD49" s="287">
        <f t="shared" si="104"/>
        <v>0</v>
      </c>
      <c r="CE49" s="287">
        <f t="shared" si="105"/>
        <v>0</v>
      </c>
      <c r="CF49" s="280">
        <f t="shared" ref="CF49:CF56" si="124">SUM(CD49,CE49)</f>
        <v>0</v>
      </c>
      <c r="CG49" s="287">
        <f t="shared" si="106"/>
        <v>0</v>
      </c>
      <c r="CH49" s="287">
        <f t="shared" si="107"/>
        <v>0</v>
      </c>
      <c r="CI49" s="280">
        <f t="shared" ref="CI49:CI56" si="125">SUM(CG49,CH49)</f>
        <v>0</v>
      </c>
      <c r="CJ49" s="287">
        <f t="shared" si="108"/>
        <v>0</v>
      </c>
      <c r="CK49" s="287">
        <f t="shared" si="109"/>
        <v>0</v>
      </c>
      <c r="CL49" s="280">
        <f t="shared" ref="CL49:CL56" si="126">SUM(CJ49,CK49)</f>
        <v>0</v>
      </c>
      <c r="CM49" s="287">
        <f t="shared" si="110"/>
        <v>0</v>
      </c>
      <c r="CN49" s="287">
        <f t="shared" si="111"/>
        <v>0</v>
      </c>
      <c r="CO49" s="280">
        <f t="shared" ref="CO49:CO56" si="127">SUM(CM49,CN49)</f>
        <v>0</v>
      </c>
      <c r="CP49" s="287">
        <f t="shared" si="112"/>
        <v>0</v>
      </c>
      <c r="CQ49" s="287">
        <f t="shared" si="113"/>
        <v>0</v>
      </c>
      <c r="CR49" s="280">
        <f t="shared" ref="CR49:CR56" si="128">SUM(CP49,CQ49)</f>
        <v>0</v>
      </c>
      <c r="CS49" s="287">
        <f t="shared" si="114"/>
        <v>0</v>
      </c>
      <c r="CT49" s="287">
        <f t="shared" si="115"/>
        <v>0</v>
      </c>
      <c r="CU49" s="280">
        <f t="shared" ref="CU49:CU56" si="129">SUM(CS49,CT49)</f>
        <v>0</v>
      </c>
      <c r="CV49" s="287">
        <f t="shared" si="116"/>
        <v>0</v>
      </c>
      <c r="CW49" s="287">
        <f t="shared" si="117"/>
        <v>0</v>
      </c>
      <c r="CX49" s="280">
        <f t="shared" ref="CX49:CX56" si="130">SUM(CV49,CW49)</f>
        <v>0</v>
      </c>
    </row>
    <row r="50" spans="1:102" ht="12.75">
      <c r="A50" s="277" t="s">
        <v>287</v>
      </c>
      <c r="B50" s="292">
        <f>IF(SUM(G50+I50+K50+M50+O50+Q50+S50+U50+W50+Y50+AA50+AC50+AE50+AG50)='WPF styczeń 2013'!M50,SUM(G50+I50+K50+M50+O50+Q50+S50+U50+W50+Y50+AA50+AC50+AE50+AG50),"popraw")</f>
        <v>243402</v>
      </c>
      <c r="C50" s="293"/>
      <c r="D50" s="294"/>
      <c r="E50" s="281">
        <f t="shared" si="92"/>
        <v>243402</v>
      </c>
      <c r="F50" s="282">
        <f t="shared" si="93"/>
        <v>45135.510000000009</v>
      </c>
      <c r="G50" s="475"/>
      <c r="H50" s="476"/>
      <c r="I50" s="475"/>
      <c r="J50" s="476"/>
      <c r="K50" s="475"/>
      <c r="L50" s="476"/>
      <c r="M50" s="475"/>
      <c r="N50" s="476"/>
      <c r="O50" s="475"/>
      <c r="P50" s="476"/>
      <c r="Q50" s="475"/>
      <c r="R50" s="476"/>
      <c r="S50" s="293"/>
      <c r="T50" s="294">
        <f>'obligacje 2017'!Y63</f>
        <v>11523.960000000001</v>
      </c>
      <c r="U50" s="293"/>
      <c r="V50" s="294">
        <f>'obligacje 2017'!Y75</f>
        <v>11523.960000000001</v>
      </c>
      <c r="W50" s="293">
        <v>0</v>
      </c>
      <c r="X50" s="294">
        <f>'obligacje 2017'!Y87</f>
        <v>11523.960000000001</v>
      </c>
      <c r="Y50" s="293">
        <v>243402</v>
      </c>
      <c r="Z50" s="294">
        <f>'obligacje 2017'!Y99</f>
        <v>10563.630000000001</v>
      </c>
      <c r="AA50" s="293">
        <v>0</v>
      </c>
      <c r="AB50" s="294">
        <f>'obligacje 2017'!Y111</f>
        <v>0</v>
      </c>
      <c r="AC50" s="293"/>
      <c r="AD50" s="294">
        <f>'obligacje 2017'!Y123</f>
        <v>0</v>
      </c>
      <c r="AE50" s="293"/>
      <c r="AF50" s="294">
        <f>'obligacje 2017'!Y135</f>
        <v>0</v>
      </c>
      <c r="AG50" s="293"/>
      <c r="AH50" s="294">
        <f>'obligacje 2017'!Y142</f>
        <v>0</v>
      </c>
      <c r="AI50" s="293"/>
      <c r="AJ50" s="294">
        <f>'obligacje 2017'!AA142</f>
        <v>0</v>
      </c>
      <c r="AK50" s="293"/>
      <c r="AL50" s="294">
        <f>'obligacje 2017'!AC142</f>
        <v>0</v>
      </c>
      <c r="AM50" s="293"/>
      <c r="AN50" s="294">
        <f>'obligacje 2017'!AE142</f>
        <v>0</v>
      </c>
      <c r="AO50" s="293"/>
      <c r="AP50" s="294">
        <f>'obligacje 2017'!AG142</f>
        <v>0</v>
      </c>
      <c r="AQ50" s="293"/>
      <c r="AR50" s="294">
        <f>'obligacje 2017'!AI142</f>
        <v>0</v>
      </c>
      <c r="AU50" s="277" t="str">
        <f t="shared" si="87"/>
        <v>Obligacje 2017</v>
      </c>
      <c r="AV50" s="278"/>
      <c r="AW50" s="1524"/>
      <c r="AX50" s="1525"/>
      <c r="AY50" s="1526"/>
      <c r="AZ50" s="1524"/>
      <c r="BA50" s="1525"/>
      <c r="BB50" s="1526"/>
      <c r="BC50" s="1524"/>
      <c r="BD50" s="1525"/>
      <c r="BE50" s="1526"/>
      <c r="BF50" s="1524"/>
      <c r="BG50" s="1525"/>
      <c r="BH50" s="1526"/>
      <c r="BI50" s="1530"/>
      <c r="BJ50" s="1531"/>
      <c r="BK50" s="1531"/>
      <c r="BL50" s="213">
        <f>SUM($S50,$U50,$W50,$Y50,$AA50,$AC50,$AE50,$AG50)</f>
        <v>243402</v>
      </c>
      <c r="BM50" s="287">
        <f>SUM($T50,$V50,$X50,$Z50,$AB50,$AD50,$AF50,$AH50)</f>
        <v>45135.510000000009</v>
      </c>
      <c r="BN50" s="280">
        <f t="shared" si="118"/>
        <v>288537.51</v>
      </c>
      <c r="BO50" s="213">
        <f t="shared" si="94"/>
        <v>243402</v>
      </c>
      <c r="BP50" s="287">
        <f t="shared" si="95"/>
        <v>33611.550000000003</v>
      </c>
      <c r="BQ50" s="280">
        <f t="shared" si="119"/>
        <v>277013.55</v>
      </c>
      <c r="BR50" s="213">
        <f t="shared" si="96"/>
        <v>243402</v>
      </c>
      <c r="BS50" s="287">
        <f t="shared" si="97"/>
        <v>22087.590000000004</v>
      </c>
      <c r="BT50" s="280">
        <f t="shared" si="120"/>
        <v>265489.59000000003</v>
      </c>
      <c r="BU50" s="213">
        <f t="shared" si="98"/>
        <v>243402</v>
      </c>
      <c r="BV50" s="287">
        <f t="shared" si="99"/>
        <v>10563.630000000001</v>
      </c>
      <c r="BW50" s="280">
        <f t="shared" si="121"/>
        <v>253965.63</v>
      </c>
      <c r="BX50" s="213">
        <f t="shared" si="100"/>
        <v>0</v>
      </c>
      <c r="BY50" s="287">
        <f t="shared" si="101"/>
        <v>0</v>
      </c>
      <c r="BZ50" s="280">
        <f t="shared" si="122"/>
        <v>0</v>
      </c>
      <c r="CA50" s="287">
        <f t="shared" si="102"/>
        <v>0</v>
      </c>
      <c r="CB50" s="287">
        <f t="shared" si="103"/>
        <v>0</v>
      </c>
      <c r="CC50" s="280">
        <f t="shared" si="123"/>
        <v>0</v>
      </c>
      <c r="CD50" s="287">
        <f t="shared" si="104"/>
        <v>0</v>
      </c>
      <c r="CE50" s="287">
        <f t="shared" si="105"/>
        <v>0</v>
      </c>
      <c r="CF50" s="280">
        <f t="shared" si="124"/>
        <v>0</v>
      </c>
      <c r="CG50" s="287">
        <f t="shared" si="106"/>
        <v>0</v>
      </c>
      <c r="CH50" s="287">
        <f t="shared" si="107"/>
        <v>0</v>
      </c>
      <c r="CI50" s="280">
        <f t="shared" si="125"/>
        <v>0</v>
      </c>
      <c r="CJ50" s="287">
        <f t="shared" si="108"/>
        <v>0</v>
      </c>
      <c r="CK50" s="287">
        <f t="shared" si="109"/>
        <v>0</v>
      </c>
      <c r="CL50" s="280">
        <f t="shared" si="126"/>
        <v>0</v>
      </c>
      <c r="CM50" s="287">
        <f t="shared" si="110"/>
        <v>0</v>
      </c>
      <c r="CN50" s="287">
        <f t="shared" si="111"/>
        <v>0</v>
      </c>
      <c r="CO50" s="280">
        <f t="shared" si="127"/>
        <v>0</v>
      </c>
      <c r="CP50" s="287">
        <f t="shared" si="112"/>
        <v>0</v>
      </c>
      <c r="CQ50" s="287">
        <f t="shared" si="113"/>
        <v>0</v>
      </c>
      <c r="CR50" s="280">
        <f t="shared" si="128"/>
        <v>0</v>
      </c>
      <c r="CS50" s="287">
        <f t="shared" si="114"/>
        <v>0</v>
      </c>
      <c r="CT50" s="287">
        <f t="shared" si="115"/>
        <v>0</v>
      </c>
      <c r="CU50" s="280">
        <f t="shared" si="129"/>
        <v>0</v>
      </c>
      <c r="CV50" s="287">
        <f t="shared" si="116"/>
        <v>0</v>
      </c>
      <c r="CW50" s="287">
        <f t="shared" si="117"/>
        <v>0</v>
      </c>
      <c r="CX50" s="280">
        <f t="shared" si="130"/>
        <v>0</v>
      </c>
    </row>
    <row r="51" spans="1:102" ht="12.75">
      <c r="A51" s="291" t="s">
        <v>288</v>
      </c>
      <c r="B51" s="292">
        <f>IF(SUM(G51+I51+K51+M51+O51+Q51+S51+U51+W51+Y51+AA51+AC51+AE51+AG51)='WPF styczeń 2013'!N50,SUM(G51+I51+K51+M51+O51+Q51+S51+U51+W51+Y51+AA51+AC51+AE51+AG51),"popraw")</f>
        <v>92407</v>
      </c>
      <c r="C51" s="293"/>
      <c r="D51" s="294"/>
      <c r="E51" s="281">
        <f t="shared" si="92"/>
        <v>92407</v>
      </c>
      <c r="F51" s="282">
        <f t="shared" si="93"/>
        <v>17135.730000000003</v>
      </c>
      <c r="G51" s="475"/>
      <c r="H51" s="476"/>
      <c r="I51" s="475"/>
      <c r="J51" s="476"/>
      <c r="K51" s="475"/>
      <c r="L51" s="476"/>
      <c r="M51" s="475"/>
      <c r="N51" s="476"/>
      <c r="O51" s="475"/>
      <c r="P51" s="476"/>
      <c r="Q51" s="475"/>
      <c r="R51" s="476"/>
      <c r="S51" s="475"/>
      <c r="T51" s="476"/>
      <c r="U51" s="293"/>
      <c r="V51" s="294">
        <f>'obligacje 2018'!Y75</f>
        <v>4375.0800000000008</v>
      </c>
      <c r="W51" s="293"/>
      <c r="X51" s="294">
        <f>'obligacje 2018'!Y87</f>
        <v>4375.0800000000008</v>
      </c>
      <c r="Y51" s="293"/>
      <c r="Z51" s="294">
        <f>'obligacje 2018'!Y99</f>
        <v>4375.0800000000008</v>
      </c>
      <c r="AA51" s="293">
        <v>92407</v>
      </c>
      <c r="AB51" s="294">
        <f>'obligacje 2018'!Y111</f>
        <v>4010.4900000000007</v>
      </c>
      <c r="AC51" s="293"/>
      <c r="AD51" s="294">
        <f>'obligacje 2018'!Y123</f>
        <v>0</v>
      </c>
      <c r="AE51" s="293"/>
      <c r="AF51" s="294">
        <f>'obligacje 2018'!Y135</f>
        <v>0</v>
      </c>
      <c r="AG51" s="293"/>
      <c r="AH51" s="294">
        <f>'obligacje 2018'!Y142</f>
        <v>0</v>
      </c>
      <c r="AI51" s="293"/>
      <c r="AJ51" s="294">
        <f>'obligacje 2018'!AA142</f>
        <v>0</v>
      </c>
      <c r="AK51" s="293"/>
      <c r="AL51" s="294">
        <f>'obligacje 2018'!AC142</f>
        <v>0</v>
      </c>
      <c r="AM51" s="293"/>
      <c r="AN51" s="294">
        <f>'obligacje 2018'!AE142</f>
        <v>0</v>
      </c>
      <c r="AO51" s="293"/>
      <c r="AP51" s="294">
        <f>'obligacje 2018'!AG142</f>
        <v>0</v>
      </c>
      <c r="AQ51" s="293"/>
      <c r="AR51" s="294">
        <f>'obligacje 2018'!AI142</f>
        <v>0</v>
      </c>
      <c r="AU51" s="277" t="str">
        <f t="shared" si="87"/>
        <v>Obligacje 2018</v>
      </c>
      <c r="AV51" s="278"/>
      <c r="AW51" s="1524"/>
      <c r="AX51" s="1525"/>
      <c r="AY51" s="1526"/>
      <c r="AZ51" s="1524"/>
      <c r="BA51" s="1525"/>
      <c r="BB51" s="1526"/>
      <c r="BC51" s="1524"/>
      <c r="BD51" s="1525"/>
      <c r="BE51" s="1526"/>
      <c r="BF51" s="1524"/>
      <c r="BG51" s="1525"/>
      <c r="BH51" s="1526"/>
      <c r="BI51" s="1524"/>
      <c r="BJ51" s="1525"/>
      <c r="BK51" s="1525"/>
      <c r="BL51" s="1580"/>
      <c r="BM51" s="1531"/>
      <c r="BN51" s="1531"/>
      <c r="BO51" s="213">
        <f t="shared" si="94"/>
        <v>92407</v>
      </c>
      <c r="BP51" s="287">
        <f t="shared" si="95"/>
        <v>17135.730000000003</v>
      </c>
      <c r="BQ51" s="280">
        <f t="shared" si="119"/>
        <v>109542.73000000001</v>
      </c>
      <c r="BR51" s="213">
        <f t="shared" si="96"/>
        <v>92407</v>
      </c>
      <c r="BS51" s="287">
        <f t="shared" si="97"/>
        <v>12760.650000000001</v>
      </c>
      <c r="BT51" s="280">
        <f t="shared" si="120"/>
        <v>105167.65</v>
      </c>
      <c r="BU51" s="213">
        <f t="shared" si="98"/>
        <v>92407</v>
      </c>
      <c r="BV51" s="287">
        <f t="shared" si="99"/>
        <v>8385.5700000000015</v>
      </c>
      <c r="BW51" s="280">
        <f t="shared" si="121"/>
        <v>100792.57</v>
      </c>
      <c r="BX51" s="213">
        <f t="shared" si="100"/>
        <v>92407</v>
      </c>
      <c r="BY51" s="287">
        <f t="shared" si="101"/>
        <v>4010.4900000000007</v>
      </c>
      <c r="BZ51" s="280">
        <f t="shared" si="122"/>
        <v>96417.49</v>
      </c>
      <c r="CA51" s="287">
        <f t="shared" si="102"/>
        <v>0</v>
      </c>
      <c r="CB51" s="287">
        <f t="shared" si="103"/>
        <v>0</v>
      </c>
      <c r="CC51" s="280">
        <f t="shared" si="123"/>
        <v>0</v>
      </c>
      <c r="CD51" s="287">
        <f t="shared" si="104"/>
        <v>0</v>
      </c>
      <c r="CE51" s="287">
        <f t="shared" si="105"/>
        <v>0</v>
      </c>
      <c r="CF51" s="280">
        <f t="shared" si="124"/>
        <v>0</v>
      </c>
      <c r="CG51" s="287">
        <f t="shared" si="106"/>
        <v>0</v>
      </c>
      <c r="CH51" s="287">
        <f t="shared" si="107"/>
        <v>0</v>
      </c>
      <c r="CI51" s="280">
        <f t="shared" si="125"/>
        <v>0</v>
      </c>
      <c r="CJ51" s="287">
        <f t="shared" si="108"/>
        <v>0</v>
      </c>
      <c r="CK51" s="287">
        <f t="shared" si="109"/>
        <v>0</v>
      </c>
      <c r="CL51" s="280">
        <f t="shared" si="126"/>
        <v>0</v>
      </c>
      <c r="CM51" s="287">
        <f t="shared" si="110"/>
        <v>0</v>
      </c>
      <c r="CN51" s="287">
        <f t="shared" si="111"/>
        <v>0</v>
      </c>
      <c r="CO51" s="280">
        <f t="shared" si="127"/>
        <v>0</v>
      </c>
      <c r="CP51" s="287">
        <f t="shared" si="112"/>
        <v>0</v>
      </c>
      <c r="CQ51" s="287">
        <f t="shared" si="113"/>
        <v>0</v>
      </c>
      <c r="CR51" s="280">
        <f t="shared" si="128"/>
        <v>0</v>
      </c>
      <c r="CS51" s="287">
        <f t="shared" si="114"/>
        <v>0</v>
      </c>
      <c r="CT51" s="287">
        <f t="shared" si="115"/>
        <v>0</v>
      </c>
      <c r="CU51" s="280">
        <f t="shared" si="129"/>
        <v>0</v>
      </c>
      <c r="CV51" s="287">
        <f t="shared" si="116"/>
        <v>0</v>
      </c>
      <c r="CW51" s="287">
        <f t="shared" si="117"/>
        <v>0</v>
      </c>
      <c r="CX51" s="280">
        <f t="shared" si="130"/>
        <v>0</v>
      </c>
    </row>
    <row r="52" spans="1:102" ht="12.75">
      <c r="A52" s="277" t="s">
        <v>289</v>
      </c>
      <c r="B52" s="292">
        <f>IF(SUM(G52+I52+K52+M52+O52+Q52+S52+U52+W52+Y52+AA52+AC52+AE52+AG52)='WPF styczeń 2013'!O50,SUM(G52+I52+K52+M52+O52+Q52+S52+U52+W52+Y52+AA52+AC52+AE52+AG52),"popraw")</f>
        <v>895589</v>
      </c>
      <c r="C52" s="293"/>
      <c r="D52" s="294"/>
      <c r="E52" s="281">
        <f t="shared" si="92"/>
        <v>895589</v>
      </c>
      <c r="F52" s="282">
        <f t="shared" si="93"/>
        <v>166074.97000000006</v>
      </c>
      <c r="G52" s="475"/>
      <c r="H52" s="476"/>
      <c r="I52" s="475"/>
      <c r="J52" s="476"/>
      <c r="K52" s="475"/>
      <c r="L52" s="476"/>
      <c r="M52" s="475"/>
      <c r="N52" s="476"/>
      <c r="O52" s="475"/>
      <c r="P52" s="476"/>
      <c r="Q52" s="475"/>
      <c r="R52" s="476"/>
      <c r="S52" s="475"/>
      <c r="T52" s="476"/>
      <c r="U52" s="475"/>
      <c r="V52" s="476"/>
      <c r="W52" s="293"/>
      <c r="X52" s="294">
        <f>'obligacje 2019'!Y87</f>
        <v>42402.120000000017</v>
      </c>
      <c r="Y52" s="293"/>
      <c r="Z52" s="294">
        <f>'obligacje 2019'!Y99</f>
        <v>42402.120000000017</v>
      </c>
      <c r="AA52" s="293">
        <v>0</v>
      </c>
      <c r="AB52" s="294">
        <f>'obligacje 2019'!Y111</f>
        <v>42402.120000000017</v>
      </c>
      <c r="AC52" s="293">
        <v>895589</v>
      </c>
      <c r="AD52" s="294">
        <f>'obligacje 2019'!Y123</f>
        <v>38868.610000000015</v>
      </c>
      <c r="AE52" s="293"/>
      <c r="AF52" s="294">
        <f>'obligacje 2019'!Y135</f>
        <v>0</v>
      </c>
      <c r="AG52" s="293"/>
      <c r="AH52" s="294">
        <f>'obligacje 2019'!Y142</f>
        <v>0</v>
      </c>
      <c r="AI52" s="293"/>
      <c r="AJ52" s="294">
        <f>'obligacje 2019'!AA142</f>
        <v>0</v>
      </c>
      <c r="AK52" s="293"/>
      <c r="AL52" s="294">
        <f>'obligacje 2019'!AC142</f>
        <v>0</v>
      </c>
      <c r="AM52" s="293"/>
      <c r="AN52" s="294">
        <f>'obligacje 2019'!AE142</f>
        <v>0</v>
      </c>
      <c r="AO52" s="293"/>
      <c r="AP52" s="294">
        <f>'obligacje 2019'!AG142</f>
        <v>0</v>
      </c>
      <c r="AQ52" s="293"/>
      <c r="AR52" s="294">
        <f>'obligacje 2019'!AI142</f>
        <v>0</v>
      </c>
      <c r="AU52" s="277" t="str">
        <f t="shared" si="87"/>
        <v>Obligacje 2019</v>
      </c>
      <c r="AV52" s="278"/>
      <c r="AW52" s="1524"/>
      <c r="AX52" s="1525"/>
      <c r="AY52" s="1526"/>
      <c r="AZ52" s="1524"/>
      <c r="BA52" s="1525"/>
      <c r="BB52" s="1526"/>
      <c r="BC52" s="1524"/>
      <c r="BD52" s="1525"/>
      <c r="BE52" s="1526"/>
      <c r="BF52" s="1524"/>
      <c r="BG52" s="1525"/>
      <c r="BH52" s="1526"/>
      <c r="BI52" s="1524"/>
      <c r="BJ52" s="1525"/>
      <c r="BK52" s="1525"/>
      <c r="BL52" s="1582"/>
      <c r="BM52" s="1525"/>
      <c r="BN52" s="1525"/>
      <c r="BO52" s="1580"/>
      <c r="BP52" s="1531"/>
      <c r="BQ52" s="1531"/>
      <c r="BR52" s="213">
        <f t="shared" si="96"/>
        <v>895589</v>
      </c>
      <c r="BS52" s="287">
        <f t="shared" si="97"/>
        <v>166074.97000000006</v>
      </c>
      <c r="BT52" s="280">
        <f t="shared" si="120"/>
        <v>1061663.97</v>
      </c>
      <c r="BU52" s="213">
        <f t="shared" si="98"/>
        <v>895589</v>
      </c>
      <c r="BV52" s="287">
        <f t="shared" si="99"/>
        <v>123672.85000000005</v>
      </c>
      <c r="BW52" s="280">
        <f t="shared" si="121"/>
        <v>1019261.8500000001</v>
      </c>
      <c r="BX52" s="213">
        <f t="shared" si="100"/>
        <v>895589</v>
      </c>
      <c r="BY52" s="287">
        <f t="shared" si="101"/>
        <v>81270.73000000004</v>
      </c>
      <c r="BZ52" s="280">
        <f t="shared" si="122"/>
        <v>976859.73</v>
      </c>
      <c r="CA52" s="287">
        <f t="shared" si="102"/>
        <v>895589</v>
      </c>
      <c r="CB52" s="287">
        <f t="shared" si="103"/>
        <v>38868.610000000015</v>
      </c>
      <c r="CC52" s="280">
        <f t="shared" si="123"/>
        <v>934457.61</v>
      </c>
      <c r="CD52" s="287">
        <f t="shared" si="104"/>
        <v>0</v>
      </c>
      <c r="CE52" s="287">
        <f t="shared" si="105"/>
        <v>0</v>
      </c>
      <c r="CF52" s="280">
        <f t="shared" si="124"/>
        <v>0</v>
      </c>
      <c r="CG52" s="287">
        <f t="shared" si="106"/>
        <v>0</v>
      </c>
      <c r="CH52" s="287">
        <f t="shared" si="107"/>
        <v>0</v>
      </c>
      <c r="CI52" s="280">
        <f t="shared" si="125"/>
        <v>0</v>
      </c>
      <c r="CJ52" s="287">
        <f t="shared" si="108"/>
        <v>0</v>
      </c>
      <c r="CK52" s="287">
        <f t="shared" si="109"/>
        <v>0</v>
      </c>
      <c r="CL52" s="280">
        <f t="shared" si="126"/>
        <v>0</v>
      </c>
      <c r="CM52" s="287">
        <f t="shared" si="110"/>
        <v>0</v>
      </c>
      <c r="CN52" s="287">
        <f t="shared" si="111"/>
        <v>0</v>
      </c>
      <c r="CO52" s="280">
        <f t="shared" si="127"/>
        <v>0</v>
      </c>
      <c r="CP52" s="287">
        <f t="shared" si="112"/>
        <v>0</v>
      </c>
      <c r="CQ52" s="287">
        <f t="shared" si="113"/>
        <v>0</v>
      </c>
      <c r="CR52" s="280">
        <f t="shared" si="128"/>
        <v>0</v>
      </c>
      <c r="CS52" s="287">
        <f t="shared" si="114"/>
        <v>0</v>
      </c>
      <c r="CT52" s="287">
        <f t="shared" si="115"/>
        <v>0</v>
      </c>
      <c r="CU52" s="280">
        <f t="shared" si="129"/>
        <v>0</v>
      </c>
      <c r="CV52" s="287">
        <f t="shared" si="116"/>
        <v>0</v>
      </c>
      <c r="CW52" s="287">
        <f t="shared" si="117"/>
        <v>0</v>
      </c>
      <c r="CX52" s="280">
        <f t="shared" si="130"/>
        <v>0</v>
      </c>
    </row>
    <row r="53" spans="1:102" ht="12.75">
      <c r="A53" s="291" t="s">
        <v>290</v>
      </c>
      <c r="B53" s="292">
        <f>IF(SUM(G53+I53+K53+M53+O53+Q53+S53+U53+W53+Y53+AA53+AC53+AE53+AG53)='WPF styczeń 2013'!P50,SUM(G53+I53+K53+M53+O53+Q53+S53+U53+W53+Y53+AA53+AC53+AE53+AG53),"popraw")</f>
        <v>0</v>
      </c>
      <c r="C53" s="293"/>
      <c r="D53" s="294"/>
      <c r="E53" s="281">
        <f t="shared" si="92"/>
        <v>0</v>
      </c>
      <c r="F53" s="282">
        <f t="shared" si="93"/>
        <v>0</v>
      </c>
      <c r="G53" s="475"/>
      <c r="H53" s="476"/>
      <c r="I53" s="475"/>
      <c r="J53" s="476"/>
      <c r="K53" s="475"/>
      <c r="L53" s="476"/>
      <c r="M53" s="475"/>
      <c r="N53" s="476"/>
      <c r="O53" s="475"/>
      <c r="P53" s="476"/>
      <c r="Q53" s="475"/>
      <c r="R53" s="476"/>
      <c r="S53" s="475"/>
      <c r="T53" s="476"/>
      <c r="U53" s="475"/>
      <c r="V53" s="476"/>
      <c r="W53" s="475"/>
      <c r="X53" s="476"/>
      <c r="Y53" s="293"/>
      <c r="Z53" s="294">
        <f>'obligacje 2020'!Y99</f>
        <v>0</v>
      </c>
      <c r="AA53" s="293"/>
      <c r="AB53" s="294">
        <f>'obligacje 2020'!Y111</f>
        <v>0</v>
      </c>
      <c r="AC53" s="293">
        <v>0</v>
      </c>
      <c r="AD53" s="294">
        <f>'obligacje 2020'!Y123</f>
        <v>0</v>
      </c>
      <c r="AE53" s="293">
        <v>0</v>
      </c>
      <c r="AF53" s="294">
        <f>'obligacje 2020'!Y1345</f>
        <v>0</v>
      </c>
      <c r="AG53" s="293"/>
      <c r="AH53" s="294">
        <f>'obligacje 2020'!Y142</f>
        <v>0</v>
      </c>
      <c r="AI53" s="293"/>
      <c r="AJ53" s="294">
        <f>'obligacje 2020'!AA142</f>
        <v>0</v>
      </c>
      <c r="AK53" s="293"/>
      <c r="AL53" s="294">
        <f>'obligacje 2020'!AC142</f>
        <v>0</v>
      </c>
      <c r="AM53" s="293"/>
      <c r="AN53" s="294">
        <f>'obligacje 2020'!AE142</f>
        <v>0</v>
      </c>
      <c r="AO53" s="293"/>
      <c r="AP53" s="294">
        <f>'obligacje 2020'!AG142</f>
        <v>0</v>
      </c>
      <c r="AQ53" s="293"/>
      <c r="AR53" s="294">
        <f>'obligacje 2020'!AI142</f>
        <v>0</v>
      </c>
      <c r="AU53" s="277" t="str">
        <f t="shared" si="87"/>
        <v>Obligacje 2020</v>
      </c>
      <c r="AV53" s="278"/>
      <c r="AW53" s="1524"/>
      <c r="AX53" s="1525"/>
      <c r="AY53" s="1526"/>
      <c r="AZ53" s="1524"/>
      <c r="BA53" s="1525"/>
      <c r="BB53" s="1526"/>
      <c r="BC53" s="1524"/>
      <c r="BD53" s="1525"/>
      <c r="BE53" s="1526"/>
      <c r="BF53" s="1524"/>
      <c r="BG53" s="1525"/>
      <c r="BH53" s="1526"/>
      <c r="BI53" s="1524"/>
      <c r="BJ53" s="1525"/>
      <c r="BK53" s="1525"/>
      <c r="BL53" s="1582"/>
      <c r="BM53" s="1525"/>
      <c r="BN53" s="1525"/>
      <c r="BO53" s="1582"/>
      <c r="BP53" s="1525"/>
      <c r="BQ53" s="1525"/>
      <c r="BR53" s="1580"/>
      <c r="BS53" s="1531"/>
      <c r="BT53" s="1531"/>
      <c r="BU53" s="213">
        <f t="shared" si="98"/>
        <v>0</v>
      </c>
      <c r="BV53" s="287">
        <f t="shared" si="99"/>
        <v>0</v>
      </c>
      <c r="BW53" s="280">
        <f t="shared" si="121"/>
        <v>0</v>
      </c>
      <c r="BX53" s="213">
        <f t="shared" si="100"/>
        <v>0</v>
      </c>
      <c r="BY53" s="287">
        <f t="shared" si="101"/>
        <v>0</v>
      </c>
      <c r="BZ53" s="280">
        <f t="shared" si="122"/>
        <v>0</v>
      </c>
      <c r="CA53" s="287">
        <f t="shared" si="102"/>
        <v>0</v>
      </c>
      <c r="CB53" s="287">
        <f t="shared" si="103"/>
        <v>0</v>
      </c>
      <c r="CC53" s="280">
        <f t="shared" si="123"/>
        <v>0</v>
      </c>
      <c r="CD53" s="287">
        <f t="shared" si="104"/>
        <v>0</v>
      </c>
      <c r="CE53" s="287">
        <f t="shared" si="105"/>
        <v>0</v>
      </c>
      <c r="CF53" s="280">
        <f t="shared" si="124"/>
        <v>0</v>
      </c>
      <c r="CG53" s="287">
        <f t="shared" si="106"/>
        <v>0</v>
      </c>
      <c r="CH53" s="287">
        <f t="shared" si="107"/>
        <v>0</v>
      </c>
      <c r="CI53" s="280">
        <f t="shared" si="125"/>
        <v>0</v>
      </c>
      <c r="CJ53" s="287">
        <f t="shared" si="108"/>
        <v>0</v>
      </c>
      <c r="CK53" s="287">
        <f t="shared" si="109"/>
        <v>0</v>
      </c>
      <c r="CL53" s="280">
        <f t="shared" si="126"/>
        <v>0</v>
      </c>
      <c r="CM53" s="287">
        <f t="shared" si="110"/>
        <v>0</v>
      </c>
      <c r="CN53" s="287">
        <f t="shared" si="111"/>
        <v>0</v>
      </c>
      <c r="CO53" s="280">
        <f t="shared" si="127"/>
        <v>0</v>
      </c>
      <c r="CP53" s="287">
        <f t="shared" si="112"/>
        <v>0</v>
      </c>
      <c r="CQ53" s="287">
        <f t="shared" si="113"/>
        <v>0</v>
      </c>
      <c r="CR53" s="280">
        <f t="shared" si="128"/>
        <v>0</v>
      </c>
      <c r="CS53" s="287">
        <f t="shared" si="114"/>
        <v>0</v>
      </c>
      <c r="CT53" s="287">
        <f t="shared" si="115"/>
        <v>0</v>
      </c>
      <c r="CU53" s="280">
        <f t="shared" si="129"/>
        <v>0</v>
      </c>
      <c r="CV53" s="287">
        <f t="shared" si="116"/>
        <v>0</v>
      </c>
      <c r="CW53" s="287">
        <f t="shared" si="117"/>
        <v>0</v>
      </c>
      <c r="CX53" s="280">
        <f t="shared" si="130"/>
        <v>0</v>
      </c>
    </row>
    <row r="54" spans="1:102" ht="12.75">
      <c r="A54" s="277" t="s">
        <v>291</v>
      </c>
      <c r="B54" s="292">
        <f>IF(SUM(G54+I54+K54+M54+O54+Q54+S54+U54+W54+Y54+AA54+AC54+AE54+AG54)='WPF styczeń 2013'!Q50,SUM(G54+I54+K54+M54+O54+Q54+S54+U54+W54+Y54+AA54+AC54+AE54+AG54),"popraw")</f>
        <v>0</v>
      </c>
      <c r="C54" s="293"/>
      <c r="D54" s="294"/>
      <c r="E54" s="281">
        <f t="shared" si="92"/>
        <v>0</v>
      </c>
      <c r="F54" s="282">
        <f t="shared" si="93"/>
        <v>0</v>
      </c>
      <c r="G54" s="475"/>
      <c r="H54" s="476"/>
      <c r="I54" s="475"/>
      <c r="J54" s="476"/>
      <c r="K54" s="475"/>
      <c r="L54" s="476"/>
      <c r="M54" s="475"/>
      <c r="N54" s="476"/>
      <c r="O54" s="475"/>
      <c r="P54" s="476"/>
      <c r="Q54" s="475"/>
      <c r="R54" s="476"/>
      <c r="S54" s="475"/>
      <c r="T54" s="476"/>
      <c r="U54" s="475"/>
      <c r="V54" s="476"/>
      <c r="W54" s="475"/>
      <c r="X54" s="476"/>
      <c r="Y54" s="475"/>
      <c r="Z54" s="476"/>
      <c r="AA54" s="293"/>
      <c r="AB54" s="294">
        <f>'obligacje 2021'!Y111</f>
        <v>0</v>
      </c>
      <c r="AC54" s="293">
        <v>0</v>
      </c>
      <c r="AD54" s="294">
        <f>'obligacje 2021'!Y123</f>
        <v>0</v>
      </c>
      <c r="AE54" s="293">
        <v>0</v>
      </c>
      <c r="AF54" s="294">
        <f>'obligacje 2021'!Y135</f>
        <v>0</v>
      </c>
      <c r="AG54" s="293"/>
      <c r="AH54" s="294">
        <f>'obligacje 2021'!Y142</f>
        <v>0</v>
      </c>
      <c r="AI54" s="293"/>
      <c r="AJ54" s="294">
        <f>'obligacje 2021'!AA142</f>
        <v>0</v>
      </c>
      <c r="AK54" s="293"/>
      <c r="AL54" s="294">
        <f>'obligacje 2021'!AC142</f>
        <v>0</v>
      </c>
      <c r="AM54" s="293"/>
      <c r="AN54" s="294">
        <f>'obligacje 2021'!AE142</f>
        <v>0</v>
      </c>
      <c r="AO54" s="293"/>
      <c r="AP54" s="294">
        <f>'obligacje 2021'!AG142</f>
        <v>0</v>
      </c>
      <c r="AQ54" s="293"/>
      <c r="AR54" s="294">
        <f>'obligacje 2021'!AI142</f>
        <v>0</v>
      </c>
      <c r="AU54" s="277" t="str">
        <f t="shared" si="87"/>
        <v>Obligacje 2021</v>
      </c>
      <c r="AV54" s="278"/>
      <c r="AW54" s="1524"/>
      <c r="AX54" s="1525"/>
      <c r="AY54" s="1526"/>
      <c r="AZ54" s="1524"/>
      <c r="BA54" s="1525"/>
      <c r="BB54" s="1526"/>
      <c r="BC54" s="1524"/>
      <c r="BD54" s="1525"/>
      <c r="BE54" s="1526"/>
      <c r="BF54" s="1524"/>
      <c r="BG54" s="1525"/>
      <c r="BH54" s="1526"/>
      <c r="BI54" s="1524"/>
      <c r="BJ54" s="1525"/>
      <c r="BK54" s="1525"/>
      <c r="BL54" s="1582"/>
      <c r="BM54" s="1525"/>
      <c r="BN54" s="1525"/>
      <c r="BO54" s="1582"/>
      <c r="BP54" s="1525"/>
      <c r="BQ54" s="1525"/>
      <c r="BR54" s="1582"/>
      <c r="BS54" s="1525"/>
      <c r="BT54" s="1525"/>
      <c r="BU54" s="1580"/>
      <c r="BV54" s="1531"/>
      <c r="BW54" s="1531"/>
      <c r="BX54" s="213">
        <f t="shared" si="100"/>
        <v>0</v>
      </c>
      <c r="BY54" s="287">
        <f t="shared" si="101"/>
        <v>0</v>
      </c>
      <c r="BZ54" s="280">
        <f t="shared" si="122"/>
        <v>0</v>
      </c>
      <c r="CA54" s="287">
        <f t="shared" si="102"/>
        <v>0</v>
      </c>
      <c r="CB54" s="287">
        <f t="shared" si="103"/>
        <v>0</v>
      </c>
      <c r="CC54" s="280">
        <f t="shared" si="123"/>
        <v>0</v>
      </c>
      <c r="CD54" s="287">
        <f t="shared" si="104"/>
        <v>0</v>
      </c>
      <c r="CE54" s="287">
        <f t="shared" si="105"/>
        <v>0</v>
      </c>
      <c r="CF54" s="280">
        <f t="shared" si="124"/>
        <v>0</v>
      </c>
      <c r="CG54" s="287">
        <f t="shared" si="106"/>
        <v>0</v>
      </c>
      <c r="CH54" s="287">
        <f t="shared" si="107"/>
        <v>0</v>
      </c>
      <c r="CI54" s="280">
        <f t="shared" si="125"/>
        <v>0</v>
      </c>
      <c r="CJ54" s="287">
        <f t="shared" si="108"/>
        <v>0</v>
      </c>
      <c r="CK54" s="287">
        <f t="shared" si="109"/>
        <v>0</v>
      </c>
      <c r="CL54" s="280">
        <f t="shared" si="126"/>
        <v>0</v>
      </c>
      <c r="CM54" s="287">
        <f t="shared" si="110"/>
        <v>0</v>
      </c>
      <c r="CN54" s="287">
        <f t="shared" si="111"/>
        <v>0</v>
      </c>
      <c r="CO54" s="280">
        <f t="shared" si="127"/>
        <v>0</v>
      </c>
      <c r="CP54" s="287">
        <f t="shared" si="112"/>
        <v>0</v>
      </c>
      <c r="CQ54" s="287">
        <f t="shared" si="113"/>
        <v>0</v>
      </c>
      <c r="CR54" s="280">
        <f t="shared" si="128"/>
        <v>0</v>
      </c>
      <c r="CS54" s="287">
        <f t="shared" si="114"/>
        <v>0</v>
      </c>
      <c r="CT54" s="287">
        <f t="shared" si="115"/>
        <v>0</v>
      </c>
      <c r="CU54" s="280">
        <f t="shared" si="129"/>
        <v>0</v>
      </c>
      <c r="CV54" s="287">
        <f t="shared" si="116"/>
        <v>0</v>
      </c>
      <c r="CW54" s="287">
        <f t="shared" si="117"/>
        <v>0</v>
      </c>
      <c r="CX54" s="280">
        <f t="shared" si="130"/>
        <v>0</v>
      </c>
    </row>
    <row r="55" spans="1:102" ht="12.75">
      <c r="A55" s="291" t="s">
        <v>292</v>
      </c>
      <c r="B55" s="292">
        <f>IF(SUM(G55+I55+K55+M55+O55+Q55+S55+U55+W55+Y55+AA55+AC55+AE55+AG55)='WPF styczeń 2013'!R50,SUM(G55+I55+K55+M55+O55+Q55+S55+U55+W55+Y55+AA55+AC55+AE55+AG55),"popraw")</f>
        <v>1267653</v>
      </c>
      <c r="C55" s="293"/>
      <c r="D55" s="294"/>
      <c r="E55" s="281">
        <f t="shared" si="92"/>
        <v>1267653</v>
      </c>
      <c r="F55" s="282">
        <f t="shared" si="93"/>
        <v>115033.81000000001</v>
      </c>
      <c r="G55" s="475"/>
      <c r="H55" s="476"/>
      <c r="I55" s="475"/>
      <c r="J55" s="476"/>
      <c r="K55" s="475"/>
      <c r="L55" s="476"/>
      <c r="M55" s="475"/>
      <c r="N55" s="476"/>
      <c r="O55" s="475"/>
      <c r="P55" s="476"/>
      <c r="Q55" s="475"/>
      <c r="R55" s="476"/>
      <c r="S55" s="475"/>
      <c r="T55" s="476"/>
      <c r="U55" s="475"/>
      <c r="V55" s="476"/>
      <c r="W55" s="475"/>
      <c r="X55" s="476"/>
      <c r="Y55" s="475"/>
      <c r="Z55" s="476"/>
      <c r="AA55" s="475"/>
      <c r="AB55" s="476"/>
      <c r="AC55" s="293">
        <v>0</v>
      </c>
      <c r="AD55" s="294">
        <f>'obligacje 2022'!Y123</f>
        <v>60017.640000000007</v>
      </c>
      <c r="AE55" s="293">
        <v>1267653</v>
      </c>
      <c r="AF55" s="294">
        <f>'obligacje 2022'!Y135</f>
        <v>55016.170000000006</v>
      </c>
      <c r="AG55" s="293"/>
      <c r="AH55" s="294">
        <f>'obligacje 2022'!Y142</f>
        <v>0</v>
      </c>
      <c r="AI55" s="293"/>
      <c r="AJ55" s="294">
        <f>'obligacje 2022'!AA142</f>
        <v>0</v>
      </c>
      <c r="AK55" s="293"/>
      <c r="AL55" s="294">
        <f>'obligacje 2022'!AC142</f>
        <v>0</v>
      </c>
      <c r="AM55" s="293"/>
      <c r="AN55" s="294">
        <f>'obligacje 2022'!AE142</f>
        <v>0</v>
      </c>
      <c r="AO55" s="293"/>
      <c r="AP55" s="294">
        <f>'obligacje 2022'!AG142</f>
        <v>0</v>
      </c>
      <c r="AQ55" s="293"/>
      <c r="AR55" s="294">
        <f>'obligacje 2022'!AI142</f>
        <v>0</v>
      </c>
      <c r="AU55" s="277" t="str">
        <f t="shared" ref="AU55:AU57" si="131">A55</f>
        <v>Obligacje 2022</v>
      </c>
      <c r="AV55" s="278"/>
      <c r="AW55" s="1524"/>
      <c r="AX55" s="1525"/>
      <c r="AY55" s="1526"/>
      <c r="AZ55" s="1524"/>
      <c r="BA55" s="1525"/>
      <c r="BB55" s="1526"/>
      <c r="BC55" s="1524"/>
      <c r="BD55" s="1525"/>
      <c r="BE55" s="1526"/>
      <c r="BF55" s="1524"/>
      <c r="BG55" s="1525"/>
      <c r="BH55" s="1526"/>
      <c r="BI55" s="1524"/>
      <c r="BJ55" s="1525"/>
      <c r="BK55" s="1525"/>
      <c r="BL55" s="1582"/>
      <c r="BM55" s="1525"/>
      <c r="BN55" s="1525"/>
      <c r="BO55" s="1582"/>
      <c r="BP55" s="1525"/>
      <c r="BQ55" s="1525"/>
      <c r="BR55" s="1582"/>
      <c r="BS55" s="1525"/>
      <c r="BT55" s="1525"/>
      <c r="BU55" s="1582"/>
      <c r="BV55" s="1525"/>
      <c r="BW55" s="1525"/>
      <c r="BX55" s="1580"/>
      <c r="BY55" s="1531"/>
      <c r="BZ55" s="1581"/>
      <c r="CA55" s="287">
        <f t="shared" si="102"/>
        <v>1267653</v>
      </c>
      <c r="CB55" s="287">
        <f t="shared" si="103"/>
        <v>115033.81000000001</v>
      </c>
      <c r="CC55" s="280">
        <f t="shared" si="123"/>
        <v>1382686.81</v>
      </c>
      <c r="CD55" s="287">
        <f t="shared" si="104"/>
        <v>1267653</v>
      </c>
      <c r="CE55" s="287">
        <f t="shared" si="105"/>
        <v>55016.170000000006</v>
      </c>
      <c r="CF55" s="280">
        <f t="shared" si="124"/>
        <v>1322669.17</v>
      </c>
      <c r="CG55" s="287">
        <f t="shared" si="106"/>
        <v>1267653</v>
      </c>
      <c r="CH55" s="287">
        <f t="shared" si="107"/>
        <v>55016.170000000006</v>
      </c>
      <c r="CI55" s="280">
        <f t="shared" si="125"/>
        <v>1322669.17</v>
      </c>
      <c r="CJ55" s="287">
        <f t="shared" si="108"/>
        <v>1267653</v>
      </c>
      <c r="CK55" s="287">
        <f t="shared" si="109"/>
        <v>55016.170000000006</v>
      </c>
      <c r="CL55" s="280">
        <f t="shared" si="126"/>
        <v>1322669.17</v>
      </c>
      <c r="CM55" s="287">
        <f t="shared" si="110"/>
        <v>1267653</v>
      </c>
      <c r="CN55" s="287">
        <f t="shared" si="111"/>
        <v>55016.170000000006</v>
      </c>
      <c r="CO55" s="280">
        <f t="shared" si="127"/>
        <v>1322669.17</v>
      </c>
      <c r="CP55" s="287">
        <f t="shared" si="112"/>
        <v>1267653</v>
      </c>
      <c r="CQ55" s="287">
        <f t="shared" si="113"/>
        <v>55016.170000000006</v>
      </c>
      <c r="CR55" s="280">
        <f t="shared" si="128"/>
        <v>1322669.17</v>
      </c>
      <c r="CS55" s="287">
        <f t="shared" si="114"/>
        <v>1267653</v>
      </c>
      <c r="CT55" s="287">
        <f t="shared" si="115"/>
        <v>55016.170000000006</v>
      </c>
      <c r="CU55" s="280">
        <f t="shared" si="129"/>
        <v>1322669.17</v>
      </c>
      <c r="CV55" s="287">
        <f t="shared" si="116"/>
        <v>1267653</v>
      </c>
      <c r="CW55" s="287">
        <f t="shared" si="117"/>
        <v>55016.170000000006</v>
      </c>
      <c r="CX55" s="280">
        <f t="shared" si="130"/>
        <v>1322669.17</v>
      </c>
    </row>
    <row r="56" spans="1:102" ht="12.75">
      <c r="A56" s="277" t="s">
        <v>293</v>
      </c>
      <c r="B56" s="292">
        <f>IF(SUM(G56+I56+K56+M56+O56+Q56+S56+U56+W56+Y56+AA56+AC56+AE56+AG56)='WPF styczeń 2013'!S50,SUM(G56+I56+K56+M56+O56+Q56+S56+U56+W56+Y56+AA56+AC56+AE56+AG56),"popraw")</f>
        <v>0</v>
      </c>
      <c r="C56" s="293"/>
      <c r="D56" s="294"/>
      <c r="E56" s="281">
        <f t="shared" si="92"/>
        <v>0</v>
      </c>
      <c r="F56" s="282">
        <f t="shared" si="93"/>
        <v>0</v>
      </c>
      <c r="G56" s="475"/>
      <c r="H56" s="476"/>
      <c r="I56" s="475"/>
      <c r="J56" s="476"/>
      <c r="K56" s="475"/>
      <c r="L56" s="476"/>
      <c r="M56" s="475"/>
      <c r="N56" s="476"/>
      <c r="O56" s="475"/>
      <c r="P56" s="476"/>
      <c r="Q56" s="475"/>
      <c r="R56" s="476"/>
      <c r="S56" s="475"/>
      <c r="T56" s="476"/>
      <c r="U56" s="475"/>
      <c r="V56" s="476"/>
      <c r="W56" s="475"/>
      <c r="X56" s="476"/>
      <c r="Y56" s="475"/>
      <c r="Z56" s="476"/>
      <c r="AA56" s="475"/>
      <c r="AB56" s="476"/>
      <c r="AC56" s="475"/>
      <c r="AD56" s="476"/>
      <c r="AE56" s="293">
        <v>0</v>
      </c>
      <c r="AF56" s="294">
        <f>'obligacje 2023'!Y135</f>
        <v>0</v>
      </c>
      <c r="AG56" s="293"/>
      <c r="AH56" s="294">
        <f>'obligacje 2023'!Y142</f>
        <v>0</v>
      </c>
      <c r="AI56" s="293"/>
      <c r="AJ56" s="294">
        <f>'obligacje 2023'!AA142</f>
        <v>0</v>
      </c>
      <c r="AK56" s="293"/>
      <c r="AL56" s="294">
        <f>'obligacje 2023'!AC142</f>
        <v>0</v>
      </c>
      <c r="AM56" s="293"/>
      <c r="AN56" s="294">
        <f>'obligacje 2023'!AE142</f>
        <v>0</v>
      </c>
      <c r="AO56" s="293"/>
      <c r="AP56" s="294">
        <f>'obligacje 2023'!AG142</f>
        <v>0</v>
      </c>
      <c r="AQ56" s="293"/>
      <c r="AR56" s="294">
        <f>'obligacje 2023'!AI142</f>
        <v>0</v>
      </c>
      <c r="AU56" s="277" t="str">
        <f t="shared" si="131"/>
        <v>Obligacje 2023</v>
      </c>
      <c r="AV56" s="278"/>
      <c r="AW56" s="1524"/>
      <c r="AX56" s="1525"/>
      <c r="AY56" s="1526"/>
      <c r="AZ56" s="1524"/>
      <c r="BA56" s="1525"/>
      <c r="BB56" s="1526"/>
      <c r="BC56" s="1524"/>
      <c r="BD56" s="1525"/>
      <c r="BE56" s="1526"/>
      <c r="BF56" s="1524"/>
      <c r="BG56" s="1525"/>
      <c r="BH56" s="1526"/>
      <c r="BI56" s="1524"/>
      <c r="BJ56" s="1525"/>
      <c r="BK56" s="1525"/>
      <c r="BL56" s="1582"/>
      <c r="BM56" s="1525"/>
      <c r="BN56" s="1525"/>
      <c r="BO56" s="1582"/>
      <c r="BP56" s="1525"/>
      <c r="BQ56" s="1525"/>
      <c r="BR56" s="1582"/>
      <c r="BS56" s="1525"/>
      <c r="BT56" s="1525"/>
      <c r="BU56" s="1582"/>
      <c r="BV56" s="1525"/>
      <c r="BW56" s="1525"/>
      <c r="BX56" s="1582"/>
      <c r="BY56" s="1525"/>
      <c r="BZ56" s="1583"/>
      <c r="CA56" s="1580"/>
      <c r="CB56" s="1531"/>
      <c r="CC56" s="1581"/>
      <c r="CD56" s="287">
        <f t="shared" si="104"/>
        <v>0</v>
      </c>
      <c r="CE56" s="287">
        <f t="shared" si="105"/>
        <v>0</v>
      </c>
      <c r="CF56" s="280">
        <f t="shared" si="124"/>
        <v>0</v>
      </c>
      <c r="CG56" s="287">
        <f t="shared" si="106"/>
        <v>0</v>
      </c>
      <c r="CH56" s="287">
        <f t="shared" si="107"/>
        <v>0</v>
      </c>
      <c r="CI56" s="280">
        <f t="shared" si="125"/>
        <v>0</v>
      </c>
      <c r="CJ56" s="287">
        <f t="shared" si="108"/>
        <v>0</v>
      </c>
      <c r="CK56" s="287">
        <f t="shared" si="109"/>
        <v>0</v>
      </c>
      <c r="CL56" s="280">
        <f t="shared" si="126"/>
        <v>0</v>
      </c>
      <c r="CM56" s="287">
        <f t="shared" si="110"/>
        <v>0</v>
      </c>
      <c r="CN56" s="287">
        <f t="shared" si="111"/>
        <v>0</v>
      </c>
      <c r="CO56" s="280">
        <f t="shared" si="127"/>
        <v>0</v>
      </c>
      <c r="CP56" s="287">
        <f t="shared" si="112"/>
        <v>0</v>
      </c>
      <c r="CQ56" s="287">
        <f t="shared" si="113"/>
        <v>0</v>
      </c>
      <c r="CR56" s="280">
        <f t="shared" si="128"/>
        <v>0</v>
      </c>
      <c r="CS56" s="287">
        <f t="shared" si="114"/>
        <v>0</v>
      </c>
      <c r="CT56" s="287">
        <f t="shared" si="115"/>
        <v>0</v>
      </c>
      <c r="CU56" s="280">
        <f t="shared" si="129"/>
        <v>0</v>
      </c>
      <c r="CV56" s="287">
        <f t="shared" si="116"/>
        <v>0</v>
      </c>
      <c r="CW56" s="287">
        <f t="shared" si="117"/>
        <v>0</v>
      </c>
      <c r="CX56" s="280">
        <f t="shared" si="130"/>
        <v>0</v>
      </c>
    </row>
    <row r="57" spans="1:102" ht="13.5" thickBot="1">
      <c r="A57" s="291" t="s">
        <v>294</v>
      </c>
      <c r="B57" s="292"/>
      <c r="C57" s="293"/>
      <c r="D57" s="294"/>
      <c r="E57" s="281">
        <f t="shared" si="92"/>
        <v>0</v>
      </c>
      <c r="F57" s="282">
        <f t="shared" si="93"/>
        <v>0</v>
      </c>
      <c r="G57" s="475"/>
      <c r="H57" s="476"/>
      <c r="I57" s="475"/>
      <c r="J57" s="476"/>
      <c r="K57" s="475"/>
      <c r="L57" s="476"/>
      <c r="M57" s="475"/>
      <c r="N57" s="476"/>
      <c r="O57" s="475"/>
      <c r="P57" s="476"/>
      <c r="Q57" s="475"/>
      <c r="R57" s="476"/>
      <c r="S57" s="475"/>
      <c r="T57" s="476"/>
      <c r="U57" s="475"/>
      <c r="V57" s="476"/>
      <c r="W57" s="475"/>
      <c r="X57" s="476"/>
      <c r="Y57" s="475"/>
      <c r="Z57" s="476"/>
      <c r="AA57" s="475"/>
      <c r="AB57" s="476"/>
      <c r="AC57" s="475"/>
      <c r="AD57" s="476"/>
      <c r="AE57" s="475"/>
      <c r="AF57" s="476"/>
      <c r="AG57" s="293"/>
      <c r="AH57" s="294"/>
      <c r="AI57" s="293"/>
      <c r="AJ57" s="294"/>
      <c r="AK57" s="293"/>
      <c r="AL57" s="294"/>
      <c r="AM57" s="293"/>
      <c r="AN57" s="294"/>
      <c r="AO57" s="293"/>
      <c r="AP57" s="294"/>
      <c r="AQ57" s="293"/>
      <c r="AR57" s="294"/>
      <c r="AU57" s="277" t="str">
        <f t="shared" si="131"/>
        <v>Obligacje inwestycje</v>
      </c>
      <c r="AV57" s="278"/>
      <c r="AW57" s="1527"/>
      <c r="AX57" s="1528"/>
      <c r="AY57" s="1529"/>
      <c r="AZ57" s="1527"/>
      <c r="BA57" s="1528"/>
      <c r="BB57" s="1529"/>
      <c r="BC57" s="1533"/>
      <c r="BD57" s="1534"/>
      <c r="BE57" s="1535"/>
      <c r="BF57" s="1533"/>
      <c r="BG57" s="1534"/>
      <c r="BH57" s="1535"/>
      <c r="BI57" s="1533"/>
      <c r="BJ57" s="1534"/>
      <c r="BK57" s="1534"/>
      <c r="BL57" s="1584"/>
      <c r="BM57" s="1534"/>
      <c r="BN57" s="1534"/>
      <c r="BO57" s="1584"/>
      <c r="BP57" s="1534"/>
      <c r="BQ57" s="1534"/>
      <c r="BR57" s="1584"/>
      <c r="BS57" s="1534"/>
      <c r="BT57" s="1534"/>
      <c r="BU57" s="1584"/>
      <c r="BV57" s="1534"/>
      <c r="BW57" s="1534"/>
      <c r="BX57" s="1584"/>
      <c r="BY57" s="1534"/>
      <c r="BZ57" s="1585"/>
      <c r="CA57" s="1584"/>
      <c r="CB57" s="1534"/>
      <c r="CC57" s="1585"/>
      <c r="CD57" s="1577"/>
      <c r="CE57" s="1578"/>
      <c r="CF57" s="1579"/>
      <c r="CG57" s="1577"/>
      <c r="CH57" s="1578"/>
      <c r="CI57" s="1579"/>
      <c r="CJ57" s="1577"/>
      <c r="CK57" s="1578"/>
      <c r="CL57" s="1579"/>
      <c r="CM57" s="1577"/>
      <c r="CN57" s="1578"/>
      <c r="CO57" s="1579"/>
      <c r="CP57" s="1577"/>
      <c r="CQ57" s="1578"/>
      <c r="CR57" s="1579"/>
      <c r="CS57" s="1577"/>
      <c r="CT57" s="1578"/>
      <c r="CU57" s="1579"/>
      <c r="CV57" s="1577"/>
      <c r="CW57" s="1578"/>
      <c r="CX57" s="1579"/>
    </row>
    <row r="58" spans="1:102" ht="13.5" thickBot="1">
      <c r="A58" s="252" t="s">
        <v>295</v>
      </c>
      <c r="B58" s="301">
        <f t="shared" ref="B58:F58" si="132">SUM(B36:B57)</f>
        <v>72549051</v>
      </c>
      <c r="C58" s="257">
        <f t="shared" si="132"/>
        <v>3550000</v>
      </c>
      <c r="D58" s="302">
        <f t="shared" si="132"/>
        <v>1724435.8</v>
      </c>
      <c r="E58" s="257">
        <f t="shared" si="132"/>
        <v>65999051</v>
      </c>
      <c r="F58" s="302">
        <f t="shared" si="132"/>
        <v>18129581.196363635</v>
      </c>
      <c r="G58" s="257">
        <f>G42+G44+SUM(G46:G57)</f>
        <v>6300000</v>
      </c>
      <c r="H58" s="257">
        <f t="shared" ref="H58:AH58" si="133">H42+H44+SUM(H46:H57)</f>
        <v>2096893.6000000003</v>
      </c>
      <c r="I58" s="257">
        <f t="shared" si="133"/>
        <v>9500000</v>
      </c>
      <c r="J58" s="257">
        <f t="shared" si="133"/>
        <v>2643817.5300000003</v>
      </c>
      <c r="K58" s="257">
        <f t="shared" si="133"/>
        <v>3500000</v>
      </c>
      <c r="L58" s="257">
        <f t="shared" si="133"/>
        <v>2641263.8863636367</v>
      </c>
      <c r="M58" s="257">
        <f t="shared" si="133"/>
        <v>3900000</v>
      </c>
      <c r="N58" s="257">
        <f t="shared" si="133"/>
        <v>2387522.08</v>
      </c>
      <c r="O58" s="257">
        <f t="shared" si="133"/>
        <v>6000000</v>
      </c>
      <c r="P58" s="257">
        <f t="shared" si="133"/>
        <v>2079863.8900000001</v>
      </c>
      <c r="Q58" s="257">
        <f t="shared" si="133"/>
        <v>6000000</v>
      </c>
      <c r="R58" s="257">
        <f t="shared" si="133"/>
        <v>1821913.87</v>
      </c>
      <c r="S58" s="257">
        <f t="shared" si="133"/>
        <v>6000000</v>
      </c>
      <c r="T58" s="257">
        <f t="shared" si="133"/>
        <v>1477424.17</v>
      </c>
      <c r="U58" s="257">
        <f t="shared" si="133"/>
        <v>7000000</v>
      </c>
      <c r="V58" s="257">
        <f t="shared" si="133"/>
        <v>1183344.79</v>
      </c>
      <c r="W58" s="257">
        <f t="shared" si="133"/>
        <v>5300000</v>
      </c>
      <c r="X58" s="257">
        <f t="shared" si="133"/>
        <v>821808.71</v>
      </c>
      <c r="Y58" s="257">
        <f t="shared" si="133"/>
        <v>4243402</v>
      </c>
      <c r="Z58" s="257">
        <f t="shared" si="133"/>
        <v>515013.60999999993</v>
      </c>
      <c r="AA58" s="257">
        <f t="shared" si="133"/>
        <v>6092407</v>
      </c>
      <c r="AB58" s="257">
        <f t="shared" si="133"/>
        <v>306812.64000000007</v>
      </c>
      <c r="AC58" s="257">
        <f t="shared" si="133"/>
        <v>895589</v>
      </c>
      <c r="AD58" s="257">
        <f t="shared" si="133"/>
        <v>98886.250000000029</v>
      </c>
      <c r="AE58" s="257">
        <f t="shared" si="133"/>
        <v>1267653</v>
      </c>
      <c r="AF58" s="257">
        <f t="shared" si="133"/>
        <v>55016.170000000006</v>
      </c>
      <c r="AG58" s="257">
        <f t="shared" si="133"/>
        <v>0</v>
      </c>
      <c r="AH58" s="257">
        <f t="shared" si="133"/>
        <v>0</v>
      </c>
      <c r="AI58" s="257">
        <f t="shared" ref="AI58:AR58" si="134">AI42+AI44+SUM(AI46:AI57)</f>
        <v>0</v>
      </c>
      <c r="AJ58" s="257">
        <f t="shared" si="134"/>
        <v>0</v>
      </c>
      <c r="AK58" s="257">
        <f t="shared" si="134"/>
        <v>0</v>
      </c>
      <c r="AL58" s="257">
        <f t="shared" si="134"/>
        <v>0</v>
      </c>
      <c r="AM58" s="257">
        <f t="shared" si="134"/>
        <v>0</v>
      </c>
      <c r="AN58" s="257">
        <f t="shared" si="134"/>
        <v>0</v>
      </c>
      <c r="AO58" s="257">
        <f t="shared" si="134"/>
        <v>0</v>
      </c>
      <c r="AP58" s="257">
        <f t="shared" si="134"/>
        <v>0</v>
      </c>
      <c r="AQ58" s="257">
        <f t="shared" si="134"/>
        <v>0</v>
      </c>
      <c r="AR58" s="257">
        <f t="shared" si="134"/>
        <v>0</v>
      </c>
      <c r="AU58" s="303"/>
      <c r="AV58" s="304"/>
      <c r="AW58" s="305">
        <f>SUM(AW36:AW57)</f>
        <v>45900000</v>
      </c>
      <c r="AX58" s="305">
        <f t="shared" ref="AX58:CF58" si="135">SUM(AX36:AX57)</f>
        <v>11231338.100000001</v>
      </c>
      <c r="AY58" s="306">
        <f t="shared" si="135"/>
        <v>57131338.099999994</v>
      </c>
      <c r="AZ58" s="305">
        <f t="shared" si="135"/>
        <v>47700000</v>
      </c>
      <c r="BA58" s="305">
        <f t="shared" si="135"/>
        <v>13045490.046363637</v>
      </c>
      <c r="BB58" s="306">
        <f t="shared" si="135"/>
        <v>60745490.046363637</v>
      </c>
      <c r="BC58" s="307">
        <f t="shared" si="135"/>
        <v>44200000</v>
      </c>
      <c r="BD58" s="307">
        <f t="shared" si="135"/>
        <v>10404226.16</v>
      </c>
      <c r="BE58" s="308">
        <f t="shared" si="135"/>
        <v>54604226.159999996</v>
      </c>
      <c r="BF58" s="307">
        <f t="shared" si="135"/>
        <v>40300000</v>
      </c>
      <c r="BG58" s="307">
        <f t="shared" si="135"/>
        <v>8016704.0800000019</v>
      </c>
      <c r="BH58" s="308">
        <f t="shared" si="135"/>
        <v>48316704.079999998</v>
      </c>
      <c r="BI58" s="307">
        <f t="shared" si="135"/>
        <v>34300000</v>
      </c>
      <c r="BJ58" s="307">
        <f t="shared" si="135"/>
        <v>5936840.1899999995</v>
      </c>
      <c r="BK58" s="308">
        <f t="shared" si="135"/>
        <v>40236840.189999998</v>
      </c>
      <c r="BL58" s="307">
        <f t="shared" si="135"/>
        <v>28543402</v>
      </c>
      <c r="BM58" s="307">
        <f t="shared" si="135"/>
        <v>4160061.83</v>
      </c>
      <c r="BN58" s="308">
        <f t="shared" si="135"/>
        <v>32703463.830000002</v>
      </c>
      <c r="BO58" s="307">
        <f>SUM(BO36:BO51)</f>
        <v>22635809</v>
      </c>
      <c r="BP58" s="307">
        <f t="shared" si="135"/>
        <v>2699773.3899999997</v>
      </c>
      <c r="BQ58" s="308">
        <f t="shared" si="135"/>
        <v>25335582.390000001</v>
      </c>
      <c r="BR58" s="307">
        <f t="shared" si="135"/>
        <v>16531398</v>
      </c>
      <c r="BS58" s="307">
        <f t="shared" si="135"/>
        <v>1682503.57</v>
      </c>
      <c r="BT58" s="308">
        <f t="shared" si="135"/>
        <v>18213901.569999997</v>
      </c>
      <c r="BU58" s="307">
        <f t="shared" si="135"/>
        <v>11231398</v>
      </c>
      <c r="BV58" s="307">
        <f t="shared" si="135"/>
        <v>860694.86</v>
      </c>
      <c r="BW58" s="308">
        <f t="shared" si="135"/>
        <v>12092092.860000001</v>
      </c>
      <c r="BX58" s="307">
        <f t="shared" si="135"/>
        <v>6987996</v>
      </c>
      <c r="BY58" s="307">
        <f t="shared" si="135"/>
        <v>345681.25000000012</v>
      </c>
      <c r="BZ58" s="308">
        <f t="shared" si="135"/>
        <v>7333677.25</v>
      </c>
      <c r="CA58" s="307">
        <f t="shared" si="135"/>
        <v>2163242</v>
      </c>
      <c r="CB58" s="307">
        <f t="shared" si="135"/>
        <v>153902.42000000004</v>
      </c>
      <c r="CC58" s="308">
        <f t="shared" si="135"/>
        <v>2317144.42</v>
      </c>
      <c r="CD58" s="307">
        <f t="shared" si="135"/>
        <v>1267653</v>
      </c>
      <c r="CE58" s="307">
        <f t="shared" si="135"/>
        <v>55016.170000000006</v>
      </c>
      <c r="CF58" s="308">
        <f t="shared" si="135"/>
        <v>1322669.17</v>
      </c>
      <c r="CG58" s="307">
        <f t="shared" ref="CG58:CI58" si="136">SUM(CG36:CG57)</f>
        <v>1267653</v>
      </c>
      <c r="CH58" s="307">
        <f t="shared" si="136"/>
        <v>55016.170000000006</v>
      </c>
      <c r="CI58" s="308">
        <f t="shared" si="136"/>
        <v>1322669.17</v>
      </c>
      <c r="CJ58" s="307">
        <f t="shared" ref="CJ58:CX58" si="137">SUM(CJ36:CJ57)</f>
        <v>1267653</v>
      </c>
      <c r="CK58" s="307">
        <f t="shared" si="137"/>
        <v>55016.170000000006</v>
      </c>
      <c r="CL58" s="308">
        <f t="shared" si="137"/>
        <v>1322669.17</v>
      </c>
      <c r="CM58" s="307">
        <f t="shared" si="137"/>
        <v>1267653</v>
      </c>
      <c r="CN58" s="307">
        <f t="shared" si="137"/>
        <v>55016.170000000006</v>
      </c>
      <c r="CO58" s="308">
        <f t="shared" si="137"/>
        <v>1322669.17</v>
      </c>
      <c r="CP58" s="307">
        <f t="shared" si="137"/>
        <v>1267653</v>
      </c>
      <c r="CQ58" s="307">
        <f t="shared" si="137"/>
        <v>55016.170000000006</v>
      </c>
      <c r="CR58" s="308">
        <f t="shared" si="137"/>
        <v>1322669.17</v>
      </c>
      <c r="CS58" s="307">
        <f t="shared" si="137"/>
        <v>1267653</v>
      </c>
      <c r="CT58" s="307">
        <f t="shared" si="137"/>
        <v>55016.170000000006</v>
      </c>
      <c r="CU58" s="308">
        <f t="shared" si="137"/>
        <v>1322669.17</v>
      </c>
      <c r="CV58" s="307">
        <f t="shared" si="137"/>
        <v>1267653</v>
      </c>
      <c r="CW58" s="307">
        <f t="shared" si="137"/>
        <v>55016.170000000006</v>
      </c>
      <c r="CX58" s="308">
        <f t="shared" si="137"/>
        <v>1322669.17</v>
      </c>
    </row>
    <row r="59" spans="1:102" ht="14.25" thickBot="1">
      <c r="A59" s="233"/>
      <c r="B59" s="260" t="s">
        <v>272</v>
      </c>
      <c r="C59" s="1518">
        <f>SUM(C58,D58)</f>
        <v>5274435.8</v>
      </c>
      <c r="D59" s="1519"/>
      <c r="E59" s="1518">
        <f>SUM(E58,F58)</f>
        <v>84128632.196363628</v>
      </c>
      <c r="F59" s="1519"/>
      <c r="G59" s="1518">
        <f>SUM(G58,H58)</f>
        <v>8396893.5999999996</v>
      </c>
      <c r="H59" s="1519"/>
      <c r="I59" s="1518">
        <f>SUM(I58,J58)</f>
        <v>12143817.530000001</v>
      </c>
      <c r="J59" s="1519"/>
      <c r="K59" s="1518">
        <f>SUM(K58,L58)</f>
        <v>6141263.8863636367</v>
      </c>
      <c r="L59" s="1519"/>
      <c r="M59" s="1518">
        <f>SUM(M58,N58)</f>
        <v>6287522.0800000001</v>
      </c>
      <c r="N59" s="1519"/>
      <c r="O59" s="1518">
        <f>SUM(O58,P58)</f>
        <v>8079863.8900000006</v>
      </c>
      <c r="P59" s="1519"/>
      <c r="Q59" s="1518">
        <f>SUM(Q58,R58)</f>
        <v>7821913.8700000001</v>
      </c>
      <c r="R59" s="1519"/>
      <c r="S59" s="1518">
        <f>SUM(S58,T58)</f>
        <v>7477424.1699999999</v>
      </c>
      <c r="T59" s="1519"/>
      <c r="U59" s="1518">
        <f>SUM(U58,V58)</f>
        <v>8183344.79</v>
      </c>
      <c r="V59" s="1519"/>
      <c r="W59" s="1510">
        <f>SUM(W58,X58)</f>
        <v>6121808.71</v>
      </c>
      <c r="X59" s="1511"/>
      <c r="Y59" s="1510">
        <f>SUM(Y58,Z58)</f>
        <v>4758415.6100000003</v>
      </c>
      <c r="Z59" s="1511"/>
      <c r="AA59" s="1510">
        <f>SUM(AA58,AB58)</f>
        <v>6399219.6399999997</v>
      </c>
      <c r="AB59" s="1520"/>
      <c r="AC59" s="1510">
        <f>SUM(AC58,AD58)</f>
        <v>994475.25</v>
      </c>
      <c r="AD59" s="1511"/>
      <c r="AE59" s="1510">
        <f>SUM(AE58,AF58)</f>
        <v>1322669.17</v>
      </c>
      <c r="AF59" s="1511"/>
      <c r="AG59" s="1510">
        <f>SUM(AG58,AH58)</f>
        <v>0</v>
      </c>
      <c r="AH59" s="1511"/>
      <c r="AI59" s="1510">
        <f>SUM(AI58,AJ58)</f>
        <v>0</v>
      </c>
      <c r="AJ59" s="1511"/>
      <c r="AK59" s="1510">
        <f>SUM(AK58,AL58)</f>
        <v>0</v>
      </c>
      <c r="AL59" s="1511"/>
      <c r="AM59" s="1510">
        <f>SUM(AM58,AN58)</f>
        <v>0</v>
      </c>
      <c r="AN59" s="1511"/>
      <c r="AO59" s="1510">
        <f>SUM(AO58,AP58)</f>
        <v>0</v>
      </c>
      <c r="AP59" s="1511"/>
      <c r="AQ59" s="1510">
        <f>SUM(AQ58,AR58)</f>
        <v>0</v>
      </c>
      <c r="AR59" s="1511"/>
      <c r="AU59" s="309"/>
      <c r="AV59" s="310"/>
      <c r="AW59" s="310"/>
      <c r="AX59" s="310"/>
      <c r="AY59" s="311"/>
      <c r="AZ59" s="310"/>
      <c r="BA59" s="310"/>
      <c r="BB59" s="311"/>
      <c r="BC59" s="310"/>
      <c r="BD59" s="310"/>
      <c r="BE59" s="311"/>
      <c r="BF59" s="310"/>
      <c r="BG59" s="310"/>
      <c r="BH59" s="311"/>
      <c r="BI59" s="310"/>
      <c r="BJ59" s="310"/>
      <c r="BK59" s="311"/>
      <c r="BL59" s="310"/>
      <c r="BM59" s="310"/>
      <c r="BN59" s="311"/>
      <c r="BO59" s="310"/>
      <c r="BP59" s="310"/>
      <c r="BQ59" s="311"/>
      <c r="BR59" s="310"/>
      <c r="BS59" s="310"/>
      <c r="BT59" s="311"/>
      <c r="BU59" s="310"/>
      <c r="BV59" s="310"/>
      <c r="BW59" s="311"/>
      <c r="BX59" s="310"/>
      <c r="BY59" s="310"/>
      <c r="BZ59" s="311"/>
      <c r="CA59" s="310"/>
      <c r="CB59" s="310"/>
      <c r="CC59" s="311"/>
      <c r="CD59" s="310"/>
      <c r="CE59" s="310"/>
      <c r="CF59" s="311"/>
      <c r="CG59" s="310"/>
      <c r="CH59" s="310"/>
      <c r="CI59" s="311"/>
      <c r="CJ59" s="310"/>
      <c r="CK59" s="310"/>
      <c r="CL59" s="311"/>
      <c r="CM59" s="310"/>
      <c r="CN59" s="310"/>
      <c r="CO59" s="311"/>
      <c r="CP59" s="310"/>
      <c r="CQ59" s="310"/>
      <c r="CR59" s="311"/>
      <c r="CS59" s="310"/>
      <c r="CT59" s="310"/>
      <c r="CU59" s="311"/>
      <c r="CV59" s="310"/>
      <c r="CW59" s="310"/>
      <c r="CX59" s="311"/>
    </row>
    <row r="60" spans="1:102" ht="13.5" thickBot="1">
      <c r="A60" s="1512" t="s">
        <v>296</v>
      </c>
      <c r="B60" s="1513"/>
      <c r="C60" s="312">
        <f t="shared" ref="C60:AH60" si="138">SUM(C11,C31,C58)</f>
        <v>4220898</v>
      </c>
      <c r="D60" s="312">
        <f t="shared" si="138"/>
        <v>1839245.49</v>
      </c>
      <c r="E60" s="312">
        <f t="shared" si="138"/>
        <v>68908877.290000007</v>
      </c>
      <c r="F60" s="312">
        <f t="shared" si="138"/>
        <v>18346905.106363636</v>
      </c>
      <c r="G60" s="312">
        <f t="shared" si="138"/>
        <v>6998867</v>
      </c>
      <c r="H60" s="312">
        <f t="shared" si="138"/>
        <v>2173458.14</v>
      </c>
      <c r="I60" s="312">
        <f t="shared" si="138"/>
        <v>10160865</v>
      </c>
      <c r="J60" s="312">
        <f t="shared" si="138"/>
        <v>2980906.7100000004</v>
      </c>
      <c r="K60" s="312">
        <f t="shared" si="138"/>
        <v>4101395</v>
      </c>
      <c r="L60" s="312">
        <f t="shared" si="138"/>
        <v>3414150.7023636368</v>
      </c>
      <c r="M60" s="312">
        <f t="shared" si="138"/>
        <v>5499417.21</v>
      </c>
      <c r="N60" s="312">
        <f t="shared" si="138"/>
        <v>3342695.5300000003</v>
      </c>
      <c r="O60" s="312">
        <f t="shared" si="138"/>
        <v>7972713.9199999999</v>
      </c>
      <c r="P60" s="312">
        <f t="shared" si="138"/>
        <v>3033825.2600000002</v>
      </c>
      <c r="Q60" s="312">
        <f t="shared" si="138"/>
        <v>7943401.9199999999</v>
      </c>
      <c r="R60" s="312">
        <f t="shared" si="138"/>
        <v>2691861.95</v>
      </c>
      <c r="S60" s="312">
        <f t="shared" si="138"/>
        <v>7892406.9199999999</v>
      </c>
      <c r="T60" s="312">
        <f t="shared" si="138"/>
        <v>2263229.09</v>
      </c>
      <c r="U60" s="312">
        <f t="shared" si="138"/>
        <v>8795588.9199999999</v>
      </c>
      <c r="V60" s="312">
        <f t="shared" si="138"/>
        <v>1885852.3900000001</v>
      </c>
      <c r="W60" s="312">
        <f t="shared" si="138"/>
        <v>7075245.9199999999</v>
      </c>
      <c r="X60" s="312">
        <f t="shared" si="138"/>
        <v>1441785.14</v>
      </c>
      <c r="Y60" s="312">
        <f t="shared" si="138"/>
        <v>6018647.9199999999</v>
      </c>
      <c r="Z60" s="313">
        <f t="shared" si="138"/>
        <v>1051022.8299999998</v>
      </c>
      <c r="AA60" s="312">
        <f t="shared" si="138"/>
        <v>7867652.9199999999</v>
      </c>
      <c r="AB60" s="314">
        <f t="shared" si="138"/>
        <v>757293.54</v>
      </c>
      <c r="AC60" s="312">
        <f t="shared" si="138"/>
        <v>2670834.92</v>
      </c>
      <c r="AD60" s="312">
        <f t="shared" si="138"/>
        <v>462195.83999999997</v>
      </c>
      <c r="AE60" s="312">
        <f t="shared" si="138"/>
        <v>3042898.92</v>
      </c>
      <c r="AF60" s="312">
        <f t="shared" si="138"/>
        <v>329428.55</v>
      </c>
      <c r="AG60" s="312">
        <f t="shared" si="138"/>
        <v>1774403.92</v>
      </c>
      <c r="AH60" s="312">
        <f t="shared" si="138"/>
        <v>183701.51</v>
      </c>
      <c r="AI60" s="312">
        <f t="shared" ref="AI60:AR60" si="139">SUM(AI11,AI31,AI58)</f>
        <v>1153845.92</v>
      </c>
      <c r="AJ60" s="312">
        <f t="shared" si="139"/>
        <v>95143</v>
      </c>
      <c r="AK60" s="312">
        <f t="shared" si="139"/>
        <v>1153848.96</v>
      </c>
      <c r="AL60" s="312">
        <f t="shared" si="139"/>
        <v>48632</v>
      </c>
      <c r="AM60" s="312">
        <f t="shared" si="139"/>
        <v>0</v>
      </c>
      <c r="AN60" s="312">
        <f t="shared" si="139"/>
        <v>0</v>
      </c>
      <c r="AO60" s="312">
        <f t="shared" si="139"/>
        <v>0</v>
      </c>
      <c r="AP60" s="312">
        <f t="shared" si="139"/>
        <v>0</v>
      </c>
      <c r="AQ60" s="312">
        <f t="shared" si="139"/>
        <v>0</v>
      </c>
      <c r="AR60" s="312">
        <f t="shared" si="139"/>
        <v>0</v>
      </c>
      <c r="AU60" s="1514" t="s">
        <v>297</v>
      </c>
      <c r="AV60" s="1515"/>
      <c r="AW60" s="315">
        <f t="shared" ref="AW60:CF60" si="140">SUM(AW11,AW31,AW58)</f>
        <v>48110959.289999999</v>
      </c>
      <c r="AX60" s="315">
        <f t="shared" si="140"/>
        <v>11372097.470000001</v>
      </c>
      <c r="AY60" s="315">
        <f t="shared" si="140"/>
        <v>59483056.75999999</v>
      </c>
      <c r="AZ60" s="315">
        <f t="shared" si="140"/>
        <v>61217410.289999999</v>
      </c>
      <c r="BA60" s="315">
        <f t="shared" si="140"/>
        <v>19027545.192363635</v>
      </c>
      <c r="BB60" s="315">
        <f t="shared" si="140"/>
        <v>80244955.482363641</v>
      </c>
      <c r="BC60" s="315">
        <f t="shared" si="140"/>
        <v>65813972.289999999</v>
      </c>
      <c r="BD60" s="315">
        <f t="shared" si="140"/>
        <v>17807793.039999999</v>
      </c>
      <c r="BE60" s="315">
        <f t="shared" si="140"/>
        <v>83621765.329999998</v>
      </c>
      <c r="BF60" s="315">
        <f t="shared" si="140"/>
        <v>60862440.079999998</v>
      </c>
      <c r="BG60" s="315">
        <f t="shared" si="140"/>
        <v>14662894.080000002</v>
      </c>
      <c r="BH60" s="315">
        <f t="shared" si="140"/>
        <v>75525334.159999996</v>
      </c>
      <c r="BI60" s="315">
        <f t="shared" si="140"/>
        <v>52889726.159999996</v>
      </c>
      <c r="BJ60" s="315">
        <f t="shared" si="140"/>
        <v>11583829.82</v>
      </c>
      <c r="BK60" s="315">
        <f t="shared" si="140"/>
        <v>64473555.979999997</v>
      </c>
      <c r="BL60" s="315">
        <f t="shared" si="140"/>
        <v>45189726.240000002</v>
      </c>
      <c r="BM60" s="315">
        <f t="shared" si="140"/>
        <v>8890222.379999999</v>
      </c>
      <c r="BN60" s="315">
        <f t="shared" si="140"/>
        <v>54079948.620000005</v>
      </c>
      <c r="BO60" s="315">
        <f t="shared" si="140"/>
        <v>37389726.32</v>
      </c>
      <c r="BP60" s="315">
        <f t="shared" si="140"/>
        <v>6595534.0199999996</v>
      </c>
      <c r="BQ60" s="315">
        <f t="shared" si="140"/>
        <v>43985260.340000004</v>
      </c>
      <c r="BR60" s="315">
        <f t="shared" si="140"/>
        <v>29489726.399999999</v>
      </c>
      <c r="BS60" s="315">
        <f t="shared" si="140"/>
        <v>4825373.5999999996</v>
      </c>
      <c r="BT60" s="315">
        <f t="shared" si="140"/>
        <v>34315100</v>
      </c>
      <c r="BU60" s="315">
        <f t="shared" si="140"/>
        <v>22414480.48</v>
      </c>
      <c r="BV60" s="315">
        <f t="shared" si="140"/>
        <v>3331336.4599999995</v>
      </c>
      <c r="BW60" s="315">
        <f t="shared" si="140"/>
        <v>25745816.940000001</v>
      </c>
      <c r="BX60" s="315">
        <f t="shared" si="140"/>
        <v>16395832.560000001</v>
      </c>
      <c r="BY60" s="315">
        <f t="shared" si="140"/>
        <v>2226106.63</v>
      </c>
      <c r="BZ60" s="315">
        <f t="shared" si="140"/>
        <v>18621939.189999998</v>
      </c>
      <c r="CA60" s="315">
        <f t="shared" si="140"/>
        <v>9795832.6400000006</v>
      </c>
      <c r="CB60" s="315">
        <f t="shared" si="140"/>
        <v>1527599.9</v>
      </c>
      <c r="CC60" s="315">
        <f t="shared" si="140"/>
        <v>11323432.540000001</v>
      </c>
      <c r="CD60" s="315">
        <f t="shared" si="140"/>
        <v>7124997.7199999997</v>
      </c>
      <c r="CE60" s="315">
        <f t="shared" si="140"/>
        <v>1007022.06</v>
      </c>
      <c r="CF60" s="315">
        <f t="shared" si="140"/>
        <v>8132019.7799999993</v>
      </c>
      <c r="CG60" s="315">
        <f t="shared" ref="CG60:CI60" si="141">SUM(CG11,CG31,CG58)</f>
        <v>5349751.8</v>
      </c>
      <c r="CH60" s="315">
        <f t="shared" si="141"/>
        <v>671995.68</v>
      </c>
      <c r="CI60" s="315">
        <f t="shared" si="141"/>
        <v>6021747.4799999995</v>
      </c>
      <c r="CJ60" s="315">
        <f t="shared" ref="CJ60:CX60" si="142">SUM(CJ11,CJ31,CJ58)</f>
        <v>3575347.88</v>
      </c>
      <c r="CK60" s="315">
        <f t="shared" si="142"/>
        <v>425345.17</v>
      </c>
      <c r="CL60" s="315">
        <f t="shared" si="142"/>
        <v>4000693.05</v>
      </c>
      <c r="CM60" s="315">
        <f t="shared" si="142"/>
        <v>2421501.96</v>
      </c>
      <c r="CN60" s="315">
        <f t="shared" si="142"/>
        <v>264807.17</v>
      </c>
      <c r="CO60" s="315">
        <f t="shared" si="142"/>
        <v>2686309.13</v>
      </c>
      <c r="CP60" s="315">
        <f t="shared" si="142"/>
        <v>1267653</v>
      </c>
      <c r="CQ60" s="315">
        <f t="shared" si="142"/>
        <v>148223.17000000001</v>
      </c>
      <c r="CR60" s="315">
        <f t="shared" si="142"/>
        <v>1415876.17</v>
      </c>
      <c r="CS60" s="315">
        <f t="shared" si="142"/>
        <v>1267653</v>
      </c>
      <c r="CT60" s="315">
        <f t="shared" si="142"/>
        <v>246533.17</v>
      </c>
      <c r="CU60" s="315">
        <f t="shared" si="142"/>
        <v>1514186.17</v>
      </c>
      <c r="CV60" s="315">
        <f t="shared" si="142"/>
        <v>1267653</v>
      </c>
      <c r="CW60" s="315">
        <f t="shared" si="142"/>
        <v>223958.17</v>
      </c>
      <c r="CX60" s="315">
        <f t="shared" si="142"/>
        <v>1491611.17</v>
      </c>
    </row>
    <row r="61" spans="1:102" ht="13.5" thickBot="1">
      <c r="A61" s="1516" t="s">
        <v>298</v>
      </c>
      <c r="B61" s="1517"/>
      <c r="C61" s="316"/>
      <c r="D61" s="317">
        <f>SUM(C60,D60)</f>
        <v>6060143.4900000002</v>
      </c>
      <c r="E61" s="318"/>
      <c r="F61" s="317">
        <f>SUM(E60,F60)</f>
        <v>87255782.396363646</v>
      </c>
      <c r="G61" s="319"/>
      <c r="H61" s="317">
        <f>SUM(G60,H60)</f>
        <v>9172325.1400000006</v>
      </c>
      <c r="I61" s="319"/>
      <c r="J61" s="317">
        <f>SUM(I60,J60)</f>
        <v>13141771.710000001</v>
      </c>
      <c r="K61" s="319"/>
      <c r="L61" s="317">
        <f>SUM(K60,L60)</f>
        <v>7515545.7023636363</v>
      </c>
      <c r="M61" s="319"/>
      <c r="N61" s="317">
        <f>SUM(M60,N60)</f>
        <v>8842112.7400000002</v>
      </c>
      <c r="O61" s="319"/>
      <c r="P61" s="317">
        <f>SUM(O60,P60)</f>
        <v>11006539.18</v>
      </c>
      <c r="Q61" s="319"/>
      <c r="R61" s="317">
        <f>SUM(Q60,R60)</f>
        <v>10635263.870000001</v>
      </c>
      <c r="S61" s="319"/>
      <c r="T61" s="317">
        <f>SUM(S60,T60)</f>
        <v>10155636.01</v>
      </c>
      <c r="U61" s="319"/>
      <c r="V61" s="317">
        <f>SUM(U60,V60)</f>
        <v>10681441.310000001</v>
      </c>
      <c r="W61" s="319"/>
      <c r="X61" s="317">
        <f>SUM(W60,X60)</f>
        <v>8517031.0600000005</v>
      </c>
      <c r="Y61" s="318"/>
      <c r="Z61" s="317">
        <f>SUM(Y60,Z60)</f>
        <v>7069670.75</v>
      </c>
      <c r="AA61" s="318"/>
      <c r="AB61" s="317">
        <f>SUM(AA60,AB60)</f>
        <v>8624946.4600000009</v>
      </c>
      <c r="AC61" s="318"/>
      <c r="AD61" s="317">
        <f>SUM(AC60,AD60)</f>
        <v>3133030.76</v>
      </c>
      <c r="AE61" s="318"/>
      <c r="AF61" s="317">
        <f>SUM(AE60,AF60)</f>
        <v>3372327.4699999997</v>
      </c>
      <c r="AG61" s="318"/>
      <c r="AH61" s="317">
        <f>SUM(AG60,AH60)</f>
        <v>1958105.43</v>
      </c>
      <c r="AI61" s="318"/>
      <c r="AJ61" s="317">
        <f>SUM(AI60,AJ60)</f>
        <v>1248988.92</v>
      </c>
      <c r="AK61" s="318"/>
      <c r="AL61" s="317">
        <f>SUM(AK60,AL60)</f>
        <v>1202480.96</v>
      </c>
      <c r="AM61" s="318"/>
      <c r="AN61" s="317">
        <f>SUM(AM60,AN60)</f>
        <v>0</v>
      </c>
      <c r="AO61" s="318"/>
      <c r="AP61" s="317">
        <f>SUM(AO60,AP60)</f>
        <v>0</v>
      </c>
      <c r="AQ61" s="318"/>
      <c r="AR61" s="317">
        <f>SUM(AQ60,AR60)</f>
        <v>0</v>
      </c>
      <c r="AU61" s="320"/>
      <c r="AV61" s="320"/>
      <c r="AW61" s="321"/>
      <c r="AX61" s="321"/>
      <c r="AY61" s="322">
        <f>AY58+AY31+AY11</f>
        <v>59483056.75999999</v>
      </c>
      <c r="AZ61" s="323"/>
      <c r="BA61" s="323"/>
      <c r="BB61" s="322">
        <f>BB58+BB31+BB11</f>
        <v>80244955.482363641</v>
      </c>
      <c r="BC61" s="323"/>
      <c r="BD61" s="323"/>
      <c r="BE61" s="322">
        <f>BE58+BE31+BE11</f>
        <v>83621765.329999998</v>
      </c>
      <c r="BF61" s="323"/>
      <c r="BG61" s="323"/>
      <c r="BH61" s="322">
        <f>BH58+BH31+BH11</f>
        <v>75525334.159999996</v>
      </c>
      <c r="BI61" s="323"/>
      <c r="BJ61" s="323"/>
      <c r="BK61" s="322">
        <f>BK58+BK31+BK11</f>
        <v>64473555.979999989</v>
      </c>
      <c r="BL61" s="324"/>
      <c r="BM61" s="323"/>
      <c r="BN61" s="322">
        <f>BN58+BN31+BN11</f>
        <v>54079948.620000005</v>
      </c>
      <c r="BO61" s="325"/>
      <c r="BP61" s="325"/>
      <c r="BQ61" s="322">
        <f>BQ58+BQ31+BQ11</f>
        <v>43985260.339999996</v>
      </c>
      <c r="BR61" s="325"/>
      <c r="BS61" s="325"/>
      <c r="BT61" s="322">
        <f>BT58+BT31+BT11</f>
        <v>34315100</v>
      </c>
      <c r="BU61" s="325"/>
      <c r="BV61" s="325"/>
      <c r="BW61" s="322">
        <f>BW58+BW31+BW11</f>
        <v>25745816.940000001</v>
      </c>
      <c r="BX61" s="325"/>
      <c r="BY61" s="325"/>
      <c r="BZ61" s="322">
        <f>BZ58+BZ31+BZ11</f>
        <v>18621939.189999998</v>
      </c>
      <c r="CA61" s="325"/>
      <c r="CB61" s="325"/>
      <c r="CC61" s="322">
        <f>CC58+CC31+CC11</f>
        <v>11323432.539999999</v>
      </c>
      <c r="CD61" s="325"/>
      <c r="CE61" s="325"/>
      <c r="CF61" s="322">
        <f>CF58+CF31+CF11</f>
        <v>8132019.7799999993</v>
      </c>
      <c r="CG61" s="325"/>
      <c r="CH61" s="325"/>
      <c r="CI61" s="322">
        <f>CI58+CI31+CI11</f>
        <v>6021747.4799999995</v>
      </c>
      <c r="CJ61" s="325"/>
      <c r="CK61" s="325"/>
      <c r="CL61" s="322">
        <f>CL58+CL31+CL11</f>
        <v>4000693.05</v>
      </c>
      <c r="CM61" s="325"/>
      <c r="CN61" s="325"/>
      <c r="CO61" s="322">
        <f>CO58+CO31+CO11</f>
        <v>2686309.13</v>
      </c>
      <c r="CP61" s="325"/>
      <c r="CQ61" s="325"/>
      <c r="CR61" s="322">
        <f>CR58+CR31+CR11</f>
        <v>1415876.17</v>
      </c>
      <c r="CS61" s="325"/>
      <c r="CT61" s="325"/>
      <c r="CU61" s="322">
        <f>CU58+CU31+CU11</f>
        <v>1514186.17</v>
      </c>
      <c r="CV61" s="325"/>
      <c r="CW61" s="325"/>
      <c r="CX61" s="322">
        <f>CX58+CX31+CX11</f>
        <v>1491611.17</v>
      </c>
    </row>
    <row r="62" spans="1:102" ht="20.25" customHeight="1">
      <c r="AU62" s="320"/>
      <c r="AV62" s="320"/>
      <c r="AW62" s="326"/>
      <c r="AX62" s="326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</row>
    <row r="63" spans="1:102" ht="12.75" hidden="1">
      <c r="AU63" s="1509" t="s">
        <v>299</v>
      </c>
      <c r="AV63" s="1509"/>
      <c r="AW63" s="327"/>
      <c r="AX63" s="328">
        <f>E60/'[1]Plan dochodów'!C4</f>
        <v>0.4856342833303543</v>
      </c>
      <c r="AY63" s="329" t="e">
        <f>SUM(AW60,#REF!)/'[1]Plan dochodów'!D4</f>
        <v>#REF!</v>
      </c>
      <c r="AZ63" s="320"/>
      <c r="BA63" s="320"/>
      <c r="BB63" s="329" t="e">
        <f>SUM(AZ60,#REF!)/'[1]Plan dochodów'!E4</f>
        <v>#REF!</v>
      </c>
      <c r="BC63" s="320"/>
      <c r="BD63" s="320"/>
      <c r="BE63" s="329" t="e">
        <f>SUM(BC60,#REF!)/'[1]Plan dochodów'!F4</f>
        <v>#REF!</v>
      </c>
      <c r="BF63" s="320"/>
      <c r="BG63" s="320"/>
      <c r="BH63" s="329" t="e">
        <f>SUM(BF60,#REF!)/'[1]Plan dochodów'!G4</f>
        <v>#REF!</v>
      </c>
      <c r="BI63" s="320"/>
      <c r="BJ63" s="320"/>
      <c r="BK63" s="329" t="e">
        <f>SUM(BI60,#REF!)/'[1]Plan dochodów'!H4</f>
        <v>#REF!</v>
      </c>
      <c r="BL63" s="320"/>
      <c r="BM63" s="320"/>
      <c r="BN63" s="329" t="e">
        <f>SUM(BL60,#REF!)/'[1]Plan dochodów'!I4</f>
        <v>#REF!</v>
      </c>
      <c r="BO63" s="320"/>
      <c r="BP63" s="320"/>
      <c r="BQ63" s="329" t="e">
        <f>SUM(BO60,#REF!)/'[1]Plan dochodów'!J4</f>
        <v>#REF!</v>
      </c>
      <c r="BR63" s="320"/>
      <c r="BS63" s="320"/>
      <c r="BT63" s="329" t="e">
        <f>SUM(BR60,#REF!)/'[1]Plan dochodów'!K4</f>
        <v>#REF!</v>
      </c>
      <c r="BU63" s="320"/>
      <c r="BV63" s="320"/>
      <c r="BW63" s="329" t="e">
        <f>SUM(BU60,#REF!)/'[1]Plan dochodów'!L4</f>
        <v>#REF!</v>
      </c>
      <c r="BX63" s="320"/>
      <c r="BY63" s="320"/>
      <c r="BZ63" s="329" t="e">
        <f>SUM(BX60,#REF!)/'[1]Plan dochodów'!M4</f>
        <v>#REF!</v>
      </c>
      <c r="CA63" s="320"/>
      <c r="CB63" s="320"/>
      <c r="CC63" s="329" t="e">
        <f>SUM(CA60,#REF!)/'[1]Plan dochodów'!N4</f>
        <v>#REF!</v>
      </c>
      <c r="CD63" s="320"/>
      <c r="CE63" s="320"/>
      <c r="CF63" s="329" t="e">
        <f>SUM(CD60,#REF!)/'[1]Plan dochodów'!O4</f>
        <v>#REF!</v>
      </c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0"/>
      <c r="CW63" s="320"/>
      <c r="CX63" s="329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BL5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BO27" sqref="BO27"/>
    </sheetView>
  </sheetViews>
  <sheetFormatPr defaultColWidth="0" defaultRowHeight="12.75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3"/>
      <c r="B1" s="330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</row>
    <row r="2" spans="1:102" ht="18" customHeight="1" thickBot="1">
      <c r="A2" s="1621" t="s">
        <v>300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1621"/>
      <c r="P2" s="1621"/>
      <c r="Q2" s="1621"/>
      <c r="R2" s="1621"/>
      <c r="S2" s="1621"/>
      <c r="T2" s="1621"/>
      <c r="U2" s="1621"/>
      <c r="V2" s="1621"/>
      <c r="W2" s="1621"/>
      <c r="X2" s="1621"/>
      <c r="Y2" s="1621"/>
      <c r="Z2" s="1621"/>
      <c r="AA2" s="1621"/>
      <c r="AB2" s="1621"/>
      <c r="AC2" s="1621"/>
      <c r="AD2" s="1621"/>
      <c r="AE2" s="1621"/>
      <c r="AF2" s="1621"/>
      <c r="AG2" s="1621"/>
      <c r="AH2" s="1621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</row>
    <row r="3" spans="1:102" ht="13.5" customHeight="1" thickTop="1" thickBot="1">
      <c r="A3" s="1622"/>
      <c r="B3" s="1624" t="s">
        <v>260</v>
      </c>
      <c r="C3" s="1626" t="s">
        <v>261</v>
      </c>
      <c r="D3" s="1627"/>
      <c r="E3" s="1628" t="s">
        <v>262</v>
      </c>
      <c r="F3" s="1629"/>
      <c r="G3" s="1632" t="s">
        <v>263</v>
      </c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33"/>
      <c r="AA3" s="1633"/>
      <c r="AB3" s="1633"/>
      <c r="AC3" s="1633"/>
      <c r="AD3" s="1633"/>
      <c r="AE3" s="1633"/>
      <c r="AF3" s="1633"/>
      <c r="AG3" s="1633"/>
      <c r="AH3" s="1634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193"/>
      <c r="AT3" s="193"/>
      <c r="AU3" s="1644"/>
      <c r="AV3" s="1646" t="s">
        <v>260</v>
      </c>
      <c r="AW3" s="1648" t="s">
        <v>264</v>
      </c>
      <c r="AX3" s="1649"/>
      <c r="AY3" s="1649"/>
      <c r="AZ3" s="1649"/>
      <c r="BA3" s="1649"/>
      <c r="BB3" s="1649"/>
      <c r="BC3" s="1649"/>
      <c r="BD3" s="1649"/>
      <c r="BE3" s="1649"/>
      <c r="BF3" s="1649"/>
      <c r="BG3" s="1649"/>
      <c r="BH3" s="1649"/>
      <c r="BI3" s="1649"/>
      <c r="BJ3" s="1649"/>
      <c r="BK3" s="1649"/>
      <c r="BL3" s="1649"/>
      <c r="BM3" s="1649"/>
      <c r="BN3" s="1649"/>
      <c r="BO3" s="1649"/>
      <c r="BP3" s="1649"/>
      <c r="BQ3" s="1649"/>
      <c r="BR3" s="1649"/>
      <c r="BS3" s="1649"/>
      <c r="BT3" s="1649"/>
      <c r="BU3" s="1649"/>
      <c r="BV3" s="1649"/>
      <c r="BW3" s="1649"/>
      <c r="BX3" s="1649"/>
      <c r="BY3" s="1649"/>
      <c r="BZ3" s="1649"/>
      <c r="CA3" s="1649"/>
      <c r="CB3" s="1649"/>
      <c r="CC3" s="1649"/>
      <c r="CD3" s="1649"/>
      <c r="CE3" s="1649"/>
      <c r="CF3" s="1649"/>
      <c r="CG3" s="1649"/>
      <c r="CH3" s="1649"/>
      <c r="CI3" s="1650"/>
      <c r="CJ3" s="789"/>
      <c r="CK3" s="789"/>
      <c r="CL3" s="789"/>
      <c r="CM3" s="789"/>
      <c r="CN3" s="789"/>
      <c r="CO3" s="789"/>
      <c r="CP3" s="789"/>
      <c r="CQ3" s="789"/>
      <c r="CR3" s="789"/>
      <c r="CS3" s="789"/>
      <c r="CT3" s="789"/>
      <c r="CU3" s="789"/>
      <c r="CV3" s="1642"/>
      <c r="CW3" s="1643"/>
      <c r="CX3" s="1643"/>
    </row>
    <row r="4" spans="1:102" ht="27" customHeight="1" thickBot="1">
      <c r="A4" s="1623"/>
      <c r="B4" s="1625"/>
      <c r="C4" s="1617">
        <v>2011</v>
      </c>
      <c r="D4" s="1618"/>
      <c r="E4" s="1630"/>
      <c r="F4" s="1631"/>
      <c r="G4" s="1619">
        <v>2012</v>
      </c>
      <c r="H4" s="1620"/>
      <c r="I4" s="1619">
        <f>G4+1</f>
        <v>2013</v>
      </c>
      <c r="J4" s="1620"/>
      <c r="K4" s="1635">
        <f>I4+1</f>
        <v>2014</v>
      </c>
      <c r="L4" s="1636"/>
      <c r="M4" s="1619">
        <f>K4+1</f>
        <v>2015</v>
      </c>
      <c r="N4" s="1620"/>
      <c r="O4" s="1635">
        <f>M4+1</f>
        <v>2016</v>
      </c>
      <c r="P4" s="1636"/>
      <c r="Q4" s="1619">
        <f>O4+1</f>
        <v>2017</v>
      </c>
      <c r="R4" s="1620"/>
      <c r="S4" s="1635">
        <f>Q4+1</f>
        <v>2018</v>
      </c>
      <c r="T4" s="1636"/>
      <c r="U4" s="1619">
        <f>S4+1</f>
        <v>2019</v>
      </c>
      <c r="V4" s="1620"/>
      <c r="W4" s="1637">
        <f>U4+1</f>
        <v>2020</v>
      </c>
      <c r="X4" s="1638"/>
      <c r="Y4" s="1639">
        <f>W4+1</f>
        <v>2021</v>
      </c>
      <c r="Z4" s="1640"/>
      <c r="AA4" s="1635">
        <f>Y4+1</f>
        <v>2022</v>
      </c>
      <c r="AB4" s="1636"/>
      <c r="AC4" s="1619">
        <f>AA4+1</f>
        <v>2023</v>
      </c>
      <c r="AD4" s="1620"/>
      <c r="AE4" s="1635">
        <f>AC4+1</f>
        <v>2024</v>
      </c>
      <c r="AF4" s="1620"/>
      <c r="AG4" s="1635">
        <f>AE4+1</f>
        <v>2025</v>
      </c>
      <c r="AH4" s="1641"/>
      <c r="AI4" s="1635">
        <f>AG4+1</f>
        <v>2026</v>
      </c>
      <c r="AJ4" s="1641"/>
      <c r="AK4" s="1635">
        <f>AI4+1</f>
        <v>2027</v>
      </c>
      <c r="AL4" s="1641"/>
      <c r="AM4" s="1635">
        <f>AK4+1</f>
        <v>2028</v>
      </c>
      <c r="AN4" s="1641"/>
      <c r="AO4" s="1635">
        <f>AM4+1</f>
        <v>2029</v>
      </c>
      <c r="AP4" s="1641"/>
      <c r="AQ4" s="1635">
        <f>AO4+1</f>
        <v>2030</v>
      </c>
      <c r="AR4" s="1641"/>
      <c r="AS4" s="193"/>
      <c r="AT4" s="193"/>
      <c r="AU4" s="1645"/>
      <c r="AV4" s="1647"/>
      <c r="AW4" s="1614">
        <v>2012</v>
      </c>
      <c r="AX4" s="1615"/>
      <c r="AY4" s="1616"/>
      <c r="AZ4" s="1614">
        <f>AW4+1</f>
        <v>2013</v>
      </c>
      <c r="BA4" s="1615"/>
      <c r="BB4" s="1616"/>
      <c r="BC4" s="1614">
        <f>AZ4+1</f>
        <v>2014</v>
      </c>
      <c r="BD4" s="1615"/>
      <c r="BE4" s="1616"/>
      <c r="BF4" s="1614">
        <f>BC4+1</f>
        <v>2015</v>
      </c>
      <c r="BG4" s="1615"/>
      <c r="BH4" s="1616"/>
      <c r="BI4" s="1614">
        <f>BF4+1</f>
        <v>2016</v>
      </c>
      <c r="BJ4" s="1615"/>
      <c r="BK4" s="1616"/>
      <c r="BL4" s="1614">
        <f>BI4+1</f>
        <v>2017</v>
      </c>
      <c r="BM4" s="1615"/>
      <c r="BN4" s="1616"/>
      <c r="BO4" s="1614">
        <f>BL4+1</f>
        <v>2018</v>
      </c>
      <c r="BP4" s="1615"/>
      <c r="BQ4" s="1616"/>
      <c r="BR4" s="1614">
        <f>BO4+1</f>
        <v>2019</v>
      </c>
      <c r="BS4" s="1615"/>
      <c r="BT4" s="1616"/>
      <c r="BU4" s="1614">
        <f>BR4+1</f>
        <v>2020</v>
      </c>
      <c r="BV4" s="1615"/>
      <c r="BW4" s="1616"/>
      <c r="BX4" s="1614">
        <f>BU4+1</f>
        <v>2021</v>
      </c>
      <c r="BY4" s="1615"/>
      <c r="BZ4" s="1616"/>
      <c r="CA4" s="1614">
        <f>BX4+1</f>
        <v>2022</v>
      </c>
      <c r="CB4" s="1615"/>
      <c r="CC4" s="1616"/>
      <c r="CD4" s="1614">
        <f>CA4+1</f>
        <v>2023</v>
      </c>
      <c r="CE4" s="1615"/>
      <c r="CF4" s="1616"/>
      <c r="CG4" s="1614">
        <f>CD4+1</f>
        <v>2024</v>
      </c>
      <c r="CH4" s="1615"/>
      <c r="CI4" s="1616"/>
      <c r="CJ4" s="1614">
        <f>CG4+1</f>
        <v>2025</v>
      </c>
      <c r="CK4" s="1615"/>
      <c r="CL4" s="1616"/>
      <c r="CM4" s="1614">
        <f>CJ4+1</f>
        <v>2026</v>
      </c>
      <c r="CN4" s="1615"/>
      <c r="CO4" s="1616"/>
      <c r="CP4" s="1614">
        <f>CM4+1</f>
        <v>2027</v>
      </c>
      <c r="CQ4" s="1615"/>
      <c r="CR4" s="1616"/>
      <c r="CS4" s="1614">
        <f>CP4+1</f>
        <v>2028</v>
      </c>
      <c r="CT4" s="1615"/>
      <c r="CU4" s="1616"/>
      <c r="CV4" s="1614">
        <f>CS4+1</f>
        <v>2029</v>
      </c>
      <c r="CW4" s="1615"/>
      <c r="CX4" s="1616"/>
    </row>
    <row r="5" spans="1:102">
      <c r="A5" s="695" t="s">
        <v>265</v>
      </c>
      <c r="B5" s="331" t="s">
        <v>266</v>
      </c>
      <c r="C5" s="332" t="s">
        <v>267</v>
      </c>
      <c r="D5" s="333" t="s">
        <v>268</v>
      </c>
      <c r="E5" s="332" t="s">
        <v>267</v>
      </c>
      <c r="F5" s="333" t="s">
        <v>268</v>
      </c>
      <c r="G5" s="332" t="s">
        <v>267</v>
      </c>
      <c r="H5" s="333" t="s">
        <v>268</v>
      </c>
      <c r="I5" s="332" t="s">
        <v>267</v>
      </c>
      <c r="J5" s="333" t="s">
        <v>268</v>
      </c>
      <c r="K5" s="334" t="s">
        <v>267</v>
      </c>
      <c r="L5" s="335" t="s">
        <v>268</v>
      </c>
      <c r="M5" s="332" t="s">
        <v>267</v>
      </c>
      <c r="N5" s="333" t="s">
        <v>268</v>
      </c>
      <c r="O5" s="334" t="s">
        <v>267</v>
      </c>
      <c r="P5" s="335" t="s">
        <v>268</v>
      </c>
      <c r="Q5" s="332" t="s">
        <v>267</v>
      </c>
      <c r="R5" s="333" t="s">
        <v>268</v>
      </c>
      <c r="S5" s="334" t="s">
        <v>267</v>
      </c>
      <c r="T5" s="335" t="s">
        <v>268</v>
      </c>
      <c r="U5" s="332" t="s">
        <v>267</v>
      </c>
      <c r="V5" s="333" t="s">
        <v>268</v>
      </c>
      <c r="W5" s="334" t="s">
        <v>267</v>
      </c>
      <c r="X5" s="335" t="s">
        <v>268</v>
      </c>
      <c r="Y5" s="332" t="s">
        <v>267</v>
      </c>
      <c r="Z5" s="333" t="s">
        <v>268</v>
      </c>
      <c r="AA5" s="334" t="s">
        <v>267</v>
      </c>
      <c r="AB5" s="335" t="s">
        <v>268</v>
      </c>
      <c r="AC5" s="332" t="s">
        <v>267</v>
      </c>
      <c r="AD5" s="333" t="s">
        <v>268</v>
      </c>
      <c r="AE5" s="334" t="s">
        <v>267</v>
      </c>
      <c r="AF5" s="333" t="s">
        <v>268</v>
      </c>
      <c r="AG5" s="334" t="s">
        <v>267</v>
      </c>
      <c r="AH5" s="336" t="s">
        <v>268</v>
      </c>
      <c r="AI5" s="334" t="s">
        <v>267</v>
      </c>
      <c r="AJ5" s="336" t="s">
        <v>268</v>
      </c>
      <c r="AK5" s="334" t="s">
        <v>267</v>
      </c>
      <c r="AL5" s="336" t="s">
        <v>268</v>
      </c>
      <c r="AM5" s="334" t="s">
        <v>267</v>
      </c>
      <c r="AN5" s="336" t="s">
        <v>268</v>
      </c>
      <c r="AO5" s="334" t="s">
        <v>267</v>
      </c>
      <c r="AP5" s="336" t="s">
        <v>268</v>
      </c>
      <c r="AQ5" s="334" t="s">
        <v>267</v>
      </c>
      <c r="AR5" s="336" t="s">
        <v>268</v>
      </c>
      <c r="AS5" s="193"/>
      <c r="AT5" s="193"/>
      <c r="AU5" s="337" t="s">
        <v>265</v>
      </c>
      <c r="AV5" s="338" t="s">
        <v>266</v>
      </c>
      <c r="AW5" s="339" t="s">
        <v>267</v>
      </c>
      <c r="AX5" s="340" t="s">
        <v>268</v>
      </c>
      <c r="AY5" s="341" t="s">
        <v>269</v>
      </c>
      <c r="AZ5" s="339" t="s">
        <v>267</v>
      </c>
      <c r="BA5" s="340" t="s">
        <v>268</v>
      </c>
      <c r="BB5" s="341" t="s">
        <v>269</v>
      </c>
      <c r="BC5" s="339" t="s">
        <v>267</v>
      </c>
      <c r="BD5" s="340" t="s">
        <v>268</v>
      </c>
      <c r="BE5" s="341" t="s">
        <v>269</v>
      </c>
      <c r="BF5" s="339" t="s">
        <v>267</v>
      </c>
      <c r="BG5" s="340" t="s">
        <v>268</v>
      </c>
      <c r="BH5" s="341" t="s">
        <v>269</v>
      </c>
      <c r="BI5" s="339" t="s">
        <v>267</v>
      </c>
      <c r="BJ5" s="340" t="s">
        <v>268</v>
      </c>
      <c r="BK5" s="341" t="s">
        <v>269</v>
      </c>
      <c r="BL5" s="339" t="s">
        <v>267</v>
      </c>
      <c r="BM5" s="340" t="s">
        <v>268</v>
      </c>
      <c r="BN5" s="341" t="s">
        <v>269</v>
      </c>
      <c r="BO5" s="339" t="s">
        <v>267</v>
      </c>
      <c r="BP5" s="340" t="s">
        <v>268</v>
      </c>
      <c r="BQ5" s="341" t="s">
        <v>269</v>
      </c>
      <c r="BR5" s="339" t="s">
        <v>267</v>
      </c>
      <c r="BS5" s="340" t="s">
        <v>268</v>
      </c>
      <c r="BT5" s="341" t="s">
        <v>269</v>
      </c>
      <c r="BU5" s="339" t="s">
        <v>267</v>
      </c>
      <c r="BV5" s="340" t="s">
        <v>268</v>
      </c>
      <c r="BW5" s="341" t="s">
        <v>269</v>
      </c>
      <c r="BX5" s="339" t="s">
        <v>267</v>
      </c>
      <c r="BY5" s="340" t="s">
        <v>268</v>
      </c>
      <c r="BZ5" s="341" t="s">
        <v>269</v>
      </c>
      <c r="CA5" s="339" t="s">
        <v>267</v>
      </c>
      <c r="CB5" s="340" t="s">
        <v>268</v>
      </c>
      <c r="CC5" s="341" t="s">
        <v>269</v>
      </c>
      <c r="CD5" s="339" t="s">
        <v>267</v>
      </c>
      <c r="CE5" s="340" t="s">
        <v>268</v>
      </c>
      <c r="CF5" s="341" t="s">
        <v>269</v>
      </c>
      <c r="CG5" s="339" t="s">
        <v>267</v>
      </c>
      <c r="CH5" s="340" t="s">
        <v>268</v>
      </c>
      <c r="CI5" s="341" t="s">
        <v>269</v>
      </c>
      <c r="CJ5" s="339" t="s">
        <v>267</v>
      </c>
      <c r="CK5" s="340" t="s">
        <v>268</v>
      </c>
      <c r="CL5" s="341" t="s">
        <v>269</v>
      </c>
      <c r="CM5" s="339" t="s">
        <v>267</v>
      </c>
      <c r="CN5" s="340" t="s">
        <v>268</v>
      </c>
      <c r="CO5" s="341" t="s">
        <v>269</v>
      </c>
      <c r="CP5" s="339" t="s">
        <v>267</v>
      </c>
      <c r="CQ5" s="340" t="s">
        <v>268</v>
      </c>
      <c r="CR5" s="341" t="s">
        <v>269</v>
      </c>
      <c r="CS5" s="339" t="s">
        <v>267</v>
      </c>
      <c r="CT5" s="340" t="s">
        <v>268</v>
      </c>
      <c r="CU5" s="341" t="s">
        <v>269</v>
      </c>
      <c r="CV5" s="339" t="s">
        <v>267</v>
      </c>
      <c r="CW5" s="340" t="s">
        <v>268</v>
      </c>
      <c r="CX5" s="341" t="s">
        <v>269</v>
      </c>
    </row>
    <row r="6" spans="1:102">
      <c r="A6" s="342">
        <f>'HSZ do groszy'!A6</f>
        <v>0</v>
      </c>
      <c r="B6" s="343">
        <f>ROUNDUP('HSZ do groszy'!B6,0)</f>
        <v>0</v>
      </c>
      <c r="C6" s="344">
        <f>ROUNDUP('HSZ do groszy'!C6,0)</f>
        <v>0</v>
      </c>
      <c r="D6" s="345">
        <f>ROUNDUP('HSZ do groszy'!D6,0)</f>
        <v>0</v>
      </c>
      <c r="E6" s="346">
        <f t="shared" ref="E6:E9" si="0">G6+I6+K6+M6+O6+Q6+S6+U6+W6+Y6+AA6+AC6+AE6+AG6</f>
        <v>0</v>
      </c>
      <c r="F6" s="347">
        <f t="shared" ref="F6:F9" si="1">H6+J6+L6+N6+P6+R6+T6+V6+X6+Z6+AB6+AD6+AF6+AH6</f>
        <v>0</v>
      </c>
      <c r="G6" s="344">
        <f>ROUNDUP('HSZ do groszy'!G6,0)</f>
        <v>0</v>
      </c>
      <c r="H6" s="345">
        <f>ROUNDUP('HSZ do groszy'!H6,0)</f>
        <v>0</v>
      </c>
      <c r="I6" s="344">
        <f>ROUNDUP('HSZ do groszy'!I6,0)</f>
        <v>0</v>
      </c>
      <c r="J6" s="345">
        <f>ROUNDUP('HSZ do groszy'!J6,0)</f>
        <v>0</v>
      </c>
      <c r="K6" s="348">
        <f>ROUNDUP('HSZ do groszy'!K6,0)</f>
        <v>0</v>
      </c>
      <c r="L6" s="343">
        <f>ROUNDUP('HSZ do groszy'!L6,0)</f>
        <v>0</v>
      </c>
      <c r="M6" s="344">
        <f>ROUNDUP('HSZ do groszy'!M6,0)</f>
        <v>0</v>
      </c>
      <c r="N6" s="345">
        <f>ROUNDUP('HSZ do groszy'!N6,0)</f>
        <v>0</v>
      </c>
      <c r="O6" s="348">
        <f>ROUNDUP('HSZ do groszy'!O6,0)</f>
        <v>0</v>
      </c>
      <c r="P6" s="343">
        <f>ROUNDUP('HSZ do groszy'!P6,0)</f>
        <v>0</v>
      </c>
      <c r="Q6" s="344">
        <f>ROUNDUP('HSZ do groszy'!Q6,0)</f>
        <v>0</v>
      </c>
      <c r="R6" s="345">
        <f>ROUNDUP('HSZ do groszy'!R6,0)</f>
        <v>0</v>
      </c>
      <c r="S6" s="348">
        <f>ROUNDUP('HSZ do groszy'!S6,0)</f>
        <v>0</v>
      </c>
      <c r="T6" s="343">
        <f>ROUNDUP('HSZ do groszy'!T6,0)</f>
        <v>0</v>
      </c>
      <c r="U6" s="344">
        <f>ROUNDUP('HSZ do groszy'!U6,0)</f>
        <v>0</v>
      </c>
      <c r="V6" s="345">
        <f>ROUNDUP('HSZ do groszy'!V6,0)</f>
        <v>0</v>
      </c>
      <c r="W6" s="348">
        <f>ROUNDUP('HSZ do groszy'!W6,0)</f>
        <v>0</v>
      </c>
      <c r="X6" s="343">
        <f>ROUNDUP('HSZ do groszy'!X6,0)</f>
        <v>0</v>
      </c>
      <c r="Y6" s="344">
        <f>ROUNDUP('HSZ do groszy'!Y6,0)</f>
        <v>0</v>
      </c>
      <c r="Z6" s="345">
        <f>ROUNDUP('HSZ do groszy'!Z6,0)</f>
        <v>0</v>
      </c>
      <c r="AA6" s="348">
        <f>ROUNDUP('HSZ do groszy'!AA6,0)</f>
        <v>0</v>
      </c>
      <c r="AB6" s="343">
        <f>ROUNDUP('HSZ do groszy'!AB6,0)</f>
        <v>0</v>
      </c>
      <c r="AC6" s="344">
        <f>ROUNDUP('HSZ do groszy'!AC6,0)</f>
        <v>0</v>
      </c>
      <c r="AD6" s="345">
        <f>ROUNDUP('HSZ do groszy'!AD6,0)</f>
        <v>0</v>
      </c>
      <c r="AE6" s="348">
        <f>ROUNDUP('HSZ do groszy'!AE6,0)</f>
        <v>0</v>
      </c>
      <c r="AF6" s="345">
        <f>ROUNDUP('HSZ do groszy'!AF6,0)</f>
        <v>0</v>
      </c>
      <c r="AG6" s="348">
        <f>ROUNDUP('HSZ do groszy'!AG6,0)</f>
        <v>0</v>
      </c>
      <c r="AH6" s="349">
        <f>ROUNDUP('HSZ do groszy'!AH6,0)</f>
        <v>0</v>
      </c>
      <c r="AI6" s="348">
        <f>ROUNDUP('HSZ do groszy'!AI6,0)</f>
        <v>0</v>
      </c>
      <c r="AJ6" s="349">
        <f>ROUNDUP('HSZ do groszy'!AJ6,0)</f>
        <v>0</v>
      </c>
      <c r="AK6" s="348">
        <f>ROUNDUP('HSZ do groszy'!AK6,0)</f>
        <v>0</v>
      </c>
      <c r="AL6" s="349">
        <f>ROUNDUP('HSZ do groszy'!AL6,0)</f>
        <v>0</v>
      </c>
      <c r="AM6" s="348">
        <f>ROUNDUP('HSZ do groszy'!AM6,0)</f>
        <v>0</v>
      </c>
      <c r="AN6" s="349">
        <f>ROUNDUP('HSZ do groszy'!AN6,0)</f>
        <v>0</v>
      </c>
      <c r="AO6" s="348">
        <f>ROUNDUP('HSZ do groszy'!AO6,0)</f>
        <v>0</v>
      </c>
      <c r="AP6" s="349">
        <f>ROUNDUP('HSZ do groszy'!AP6,0)</f>
        <v>0</v>
      </c>
      <c r="AQ6" s="348">
        <f>ROUNDUP('HSZ do groszy'!AQ6,0)</f>
        <v>0</v>
      </c>
      <c r="AR6" s="349">
        <f>ROUNDUP('HSZ do groszy'!AR6,0)</f>
        <v>0</v>
      </c>
      <c r="AS6" s="193"/>
      <c r="AT6" s="193"/>
      <c r="AU6" s="350">
        <f>A6</f>
        <v>0</v>
      </c>
      <c r="AV6" s="351">
        <f>B6</f>
        <v>0</v>
      </c>
      <c r="AW6" s="344">
        <f>SUM($I6,$K6,$M6,$O6,$Q6,$S6,$U6,$W6,$Y6,$AA6,$AC6,$AE6,$AG6)</f>
        <v>0</v>
      </c>
      <c r="AX6" s="352">
        <f>SUM($J6,$L6,$N6,$P6,$R6,$T6,$V6,$X6,$Z6,$AB6,$AD6,$AF6,$AH6)</f>
        <v>0</v>
      </c>
      <c r="AY6" s="353">
        <f>SUM(AW6,AX6)</f>
        <v>0</v>
      </c>
      <c r="AZ6" s="344">
        <f>SUM($K6,$M6,$O6,$Q6,$S6,$U6,$W6,$Y6,$AA6,$AC6,$AE6,$AG6)</f>
        <v>0</v>
      </c>
      <c r="BA6" s="352">
        <f>SUM($L6,$N6,$P6,$R6,$T6,$V6,$X6,$Z6,$AB6,$AD6,$AF6,$AH6)</f>
        <v>0</v>
      </c>
      <c r="BB6" s="353">
        <f>SUM(AZ6,BA6)</f>
        <v>0</v>
      </c>
      <c r="BC6" s="344">
        <f>SUM($M6,$O6,$Q6,$S6,$U6,$W6,$Y6,$AA6,$AC6,$AE6,$AG6)</f>
        <v>0</v>
      </c>
      <c r="BD6" s="352">
        <f>SUM($N6,$P6,$R6,$T6,$V6,$X6,$Z6,$AB6,$AD6,$AF6,$AH6)</f>
        <v>0</v>
      </c>
      <c r="BE6" s="353">
        <f>SUM(BC6,BD6)</f>
        <v>0</v>
      </c>
      <c r="BF6" s="344">
        <f>SUM($O6,$Q6,$S6,$U6,$W6,$Y6,$AA6,$AC6,$AE6,$AG6)</f>
        <v>0</v>
      </c>
      <c r="BG6" s="352">
        <f>SUM($P6,$R6,$T6,$V6,$X6,$Z6,$AB6,$AD6,$AF6,$AH6)</f>
        <v>0</v>
      </c>
      <c r="BH6" s="353">
        <f>SUM(BF6,BG6)</f>
        <v>0</v>
      </c>
      <c r="BI6" s="344">
        <f>SUM($Q6,$S6,$U6,$W6,$Y6,$AA6,$AC6,$AE6,$AG6)</f>
        <v>0</v>
      </c>
      <c r="BJ6" s="352">
        <f>SUM($R6,$T6,$V6,$X6,$Z6,$AB6,$AD6,$AF6,$AH6)</f>
        <v>0</v>
      </c>
      <c r="BK6" s="353">
        <f>SUM(BI6,BJ6)</f>
        <v>0</v>
      </c>
      <c r="BL6" s="344">
        <f>SUM($S6,$U6,$W6,$Y6,$AA6,$AC6,$AE6,$AG6)</f>
        <v>0</v>
      </c>
      <c r="BM6" s="352">
        <f>SUM($T6,$V6,$X6,$Z6,$AB6,$AD6,$AF6,$AH6)</f>
        <v>0</v>
      </c>
      <c r="BN6" s="353">
        <f>SUM(BL6,BM6)</f>
        <v>0</v>
      </c>
      <c r="BO6" s="344">
        <f>SUM($U6,$W6,$Y6,$AA6,$AC6,$AE6,$AG6)</f>
        <v>0</v>
      </c>
      <c r="BP6" s="352">
        <f>SUM($V6,$X6,$Z6,$AB6,$AD6,$AF6,$AH6)</f>
        <v>0</v>
      </c>
      <c r="BQ6" s="353">
        <f>SUM(BO6,BP6)</f>
        <v>0</v>
      </c>
      <c r="BR6" s="344">
        <f>SUM($W6,$Y6,$AA6,$AC6,$AE6,$AG6)</f>
        <v>0</v>
      </c>
      <c r="BS6" s="352">
        <f>SUM($X6,$Z6,$AB6,$AD6,$AF6,$AH6)</f>
        <v>0</v>
      </c>
      <c r="BT6" s="353">
        <f>SUM(BR6,BS6)</f>
        <v>0</v>
      </c>
      <c r="BU6" s="344">
        <f>SUM($Y6,$AA6,$AC6,$AE6,$AG6)</f>
        <v>0</v>
      </c>
      <c r="BV6" s="352">
        <f>SUM($Z6,$AB6,$AD6,$AF6,$AH6)</f>
        <v>0</v>
      </c>
      <c r="BW6" s="353">
        <f>SUM(BU6,BV6)</f>
        <v>0</v>
      </c>
      <c r="BX6" s="344">
        <f>SUM($AA6,$AC6,$AE6,$AG6)</f>
        <v>0</v>
      </c>
      <c r="BY6" s="352">
        <f>SUM($AB6,$AD6,$AF6,$AH6)</f>
        <v>0</v>
      </c>
      <c r="BZ6" s="353">
        <f>SUM(BX6,BY6)</f>
        <v>0</v>
      </c>
      <c r="CA6" s="344">
        <f>SUM($AC6,$AE6,$AG6)</f>
        <v>0</v>
      </c>
      <c r="CB6" s="352">
        <f>SUM($AD6,$AF6,$AH6)</f>
        <v>0</v>
      </c>
      <c r="CC6" s="353">
        <f>SUM(CA6,CB6)</f>
        <v>0</v>
      </c>
      <c r="CD6" s="344">
        <f>SUM($AE6,$AG6)</f>
        <v>0</v>
      </c>
      <c r="CE6" s="352">
        <f>SUM($AF6,$AH6)</f>
        <v>0</v>
      </c>
      <c r="CF6" s="353">
        <f>SUM(CD6,CE6)</f>
        <v>0</v>
      </c>
      <c r="CG6" s="344">
        <f>SUM($AG6)</f>
        <v>0</v>
      </c>
      <c r="CH6" s="352">
        <f>SUM($AH6)</f>
        <v>0</v>
      </c>
      <c r="CI6" s="353">
        <f>SUM(CG6,CH6)</f>
        <v>0</v>
      </c>
      <c r="CJ6" s="344">
        <f>SUM($AG6)</f>
        <v>0</v>
      </c>
      <c r="CK6" s="352">
        <f>SUM($AH6)</f>
        <v>0</v>
      </c>
      <c r="CL6" s="353">
        <f>SUM(CJ6,CK6)</f>
        <v>0</v>
      </c>
      <c r="CM6" s="344">
        <f>SUM($AG6)</f>
        <v>0</v>
      </c>
      <c r="CN6" s="352">
        <f>SUM($AH6)</f>
        <v>0</v>
      </c>
      <c r="CO6" s="353">
        <f>SUM(CM6,CN6)</f>
        <v>0</v>
      </c>
      <c r="CP6" s="344">
        <f>SUM($AG6)</f>
        <v>0</v>
      </c>
      <c r="CQ6" s="352">
        <f>SUM($AH6)</f>
        <v>0</v>
      </c>
      <c r="CR6" s="353">
        <f>SUM(CP6,CQ6)</f>
        <v>0</v>
      </c>
      <c r="CS6" s="344">
        <f>SUM($AG6)</f>
        <v>0</v>
      </c>
      <c r="CT6" s="352">
        <f>SUM($AH6)</f>
        <v>0</v>
      </c>
      <c r="CU6" s="353">
        <f>SUM(CS6,CT6)</f>
        <v>0</v>
      </c>
      <c r="CV6" s="344">
        <f>SUM($AG6)</f>
        <v>0</v>
      </c>
      <c r="CW6" s="352">
        <f>SUM($AH6)</f>
        <v>0</v>
      </c>
      <c r="CX6" s="353">
        <f>SUM(CV6,CW6)</f>
        <v>0</v>
      </c>
    </row>
    <row r="7" spans="1:102">
      <c r="A7" s="342">
        <f>'HSZ do groszy'!A7</f>
        <v>0</v>
      </c>
      <c r="B7" s="343">
        <f>ROUNDUP('HSZ do groszy'!B7,0)</f>
        <v>0</v>
      </c>
      <c r="C7" s="344">
        <f>ROUNDUP('HSZ do groszy'!C7,0)</f>
        <v>0</v>
      </c>
      <c r="D7" s="345">
        <f>ROUNDUP('HSZ do groszy'!D7,0)</f>
        <v>0</v>
      </c>
      <c r="E7" s="346">
        <f t="shared" si="0"/>
        <v>0</v>
      </c>
      <c r="F7" s="347">
        <f t="shared" si="1"/>
        <v>0</v>
      </c>
      <c r="G7" s="344">
        <f>ROUNDUP('HSZ do groszy'!G7,0)</f>
        <v>0</v>
      </c>
      <c r="H7" s="345">
        <f>ROUNDUP('HSZ do groszy'!H7,0)</f>
        <v>0</v>
      </c>
      <c r="I7" s="344">
        <f>ROUNDUP('HSZ do groszy'!I7,0)</f>
        <v>0</v>
      </c>
      <c r="J7" s="345">
        <f>ROUNDUP('HSZ do groszy'!J7,0)</f>
        <v>0</v>
      </c>
      <c r="K7" s="348">
        <f>ROUNDUP('HSZ do groszy'!K7,0)</f>
        <v>0</v>
      </c>
      <c r="L7" s="343">
        <f>ROUNDUP('HSZ do groszy'!L7,0)</f>
        <v>0</v>
      </c>
      <c r="M7" s="344">
        <f>ROUNDUP('HSZ do groszy'!M7,0)</f>
        <v>0</v>
      </c>
      <c r="N7" s="345">
        <f>ROUNDUP('HSZ do groszy'!N7,0)</f>
        <v>0</v>
      </c>
      <c r="O7" s="348">
        <f>ROUNDUP('HSZ do groszy'!O7,0)</f>
        <v>0</v>
      </c>
      <c r="P7" s="343">
        <f>ROUNDUP('HSZ do groszy'!P7,0)</f>
        <v>0</v>
      </c>
      <c r="Q7" s="344">
        <f>ROUNDUP('HSZ do groszy'!Q7,0)</f>
        <v>0</v>
      </c>
      <c r="R7" s="345">
        <f>ROUNDUP('HSZ do groszy'!R7,0)</f>
        <v>0</v>
      </c>
      <c r="S7" s="348">
        <f>ROUNDUP('HSZ do groszy'!S7,0)</f>
        <v>0</v>
      </c>
      <c r="T7" s="343">
        <f>ROUNDUP('HSZ do groszy'!T7,0)</f>
        <v>0</v>
      </c>
      <c r="U7" s="344">
        <f>ROUNDUP('HSZ do groszy'!U7,0)</f>
        <v>0</v>
      </c>
      <c r="V7" s="345">
        <f>ROUNDUP('HSZ do groszy'!V7,0)</f>
        <v>0</v>
      </c>
      <c r="W7" s="348">
        <f>ROUNDUP('HSZ do groszy'!W7,0)</f>
        <v>0</v>
      </c>
      <c r="X7" s="343">
        <f>ROUNDUP('HSZ do groszy'!X7,0)</f>
        <v>0</v>
      </c>
      <c r="Y7" s="344">
        <f>ROUNDUP('HSZ do groszy'!Y7,0)</f>
        <v>0</v>
      </c>
      <c r="Z7" s="345">
        <f>ROUNDUP('HSZ do groszy'!Z7,0)</f>
        <v>0</v>
      </c>
      <c r="AA7" s="348">
        <f>ROUNDUP('HSZ do groszy'!AA7,0)</f>
        <v>0</v>
      </c>
      <c r="AB7" s="343">
        <f>ROUNDUP('HSZ do groszy'!AB7,0)</f>
        <v>0</v>
      </c>
      <c r="AC7" s="344">
        <f>ROUNDUP('HSZ do groszy'!AC7,0)</f>
        <v>0</v>
      </c>
      <c r="AD7" s="345">
        <f>ROUNDUP('HSZ do groszy'!AD7,0)</f>
        <v>0</v>
      </c>
      <c r="AE7" s="348">
        <f>ROUNDUP('HSZ do groszy'!AE7,0)</f>
        <v>0</v>
      </c>
      <c r="AF7" s="345">
        <f>ROUNDUP('HSZ do groszy'!AF7,0)</f>
        <v>0</v>
      </c>
      <c r="AG7" s="348">
        <f>ROUNDUP('HSZ do groszy'!AG7,0)</f>
        <v>0</v>
      </c>
      <c r="AH7" s="349">
        <f>ROUNDUP('HSZ do groszy'!AH7,0)</f>
        <v>0</v>
      </c>
      <c r="AI7" s="348">
        <f>ROUNDUP('HSZ do groszy'!AI7,0)</f>
        <v>0</v>
      </c>
      <c r="AJ7" s="349">
        <f>ROUNDUP('HSZ do groszy'!AJ7,0)</f>
        <v>0</v>
      </c>
      <c r="AK7" s="348">
        <f>ROUNDUP('HSZ do groszy'!AK7,0)</f>
        <v>0</v>
      </c>
      <c r="AL7" s="349">
        <f>ROUNDUP('HSZ do groszy'!AL7,0)</f>
        <v>0</v>
      </c>
      <c r="AM7" s="348">
        <f>ROUNDUP('HSZ do groszy'!AM7,0)</f>
        <v>0</v>
      </c>
      <c r="AN7" s="349">
        <f>ROUNDUP('HSZ do groszy'!AN7,0)</f>
        <v>0</v>
      </c>
      <c r="AO7" s="348">
        <f>ROUNDUP('HSZ do groszy'!AO7,0)</f>
        <v>0</v>
      </c>
      <c r="AP7" s="349">
        <f>ROUNDUP('HSZ do groszy'!AP7,0)</f>
        <v>0</v>
      </c>
      <c r="AQ7" s="348">
        <f>ROUNDUP('HSZ do groszy'!AQ7,0)</f>
        <v>0</v>
      </c>
      <c r="AR7" s="349">
        <f>ROUNDUP('HSZ do groszy'!AR7,0)</f>
        <v>0</v>
      </c>
      <c r="AS7" s="193"/>
      <c r="AT7" s="193"/>
      <c r="AU7" s="350">
        <f t="shared" ref="AU7:AV10" si="2">A7</f>
        <v>0</v>
      </c>
      <c r="AV7" s="351">
        <f t="shared" si="2"/>
        <v>0</v>
      </c>
      <c r="AW7" s="344">
        <f>SUM($I7,$K7,$M7,$O7,$Q7,$S7,$U7,$W7,$Y7,$AA7,$AC7,$AE7,$AG7)</f>
        <v>0</v>
      </c>
      <c r="AX7" s="352">
        <f>SUM($J7,$L7,$N7,$P7,$R7,$T7,$V7,$X7,$Z7,$AB7,$AD7,$AF7,$AH7)</f>
        <v>0</v>
      </c>
      <c r="AY7" s="353">
        <f>SUM(AW7,AX7)</f>
        <v>0</v>
      </c>
      <c r="AZ7" s="344">
        <f>SUM($K7,$M7,$O7,$Q7,$S7,$U7,$W7,$Y7,$AA7,$AC7,$AE7,$AG7)</f>
        <v>0</v>
      </c>
      <c r="BA7" s="352">
        <f>SUM($L7,$N7,$P7,$R7,$T7,$V7,$X7,$Z7,$AB7,$AD7,$AF7,$AH7)</f>
        <v>0</v>
      </c>
      <c r="BB7" s="353">
        <f>SUM(AZ7,BA7)</f>
        <v>0</v>
      </c>
      <c r="BC7" s="344">
        <f>SUM($M7,$O7,$Q7,$S7,$U7,$W7,$Y7,$AA7,$AC7,$AE7,$AG7)</f>
        <v>0</v>
      </c>
      <c r="BD7" s="352">
        <f>SUM($N7,$P7,$R7,$T7,$V7,$X7,$Z7,$AB7,$AD7,$AF7,$AH7)</f>
        <v>0</v>
      </c>
      <c r="BE7" s="353">
        <f>SUM(BC7,BD7)</f>
        <v>0</v>
      </c>
      <c r="BF7" s="344">
        <f>SUM($O7,$Q7,$S7,$U7,$W7,$Y7,$AA7,$AC7,$AE7,$AG7)</f>
        <v>0</v>
      </c>
      <c r="BG7" s="352">
        <f>SUM($P7,$R7,$T7,$V7,$X7,$Z7,$AB7,$AD7,$AF7,$AH7)</f>
        <v>0</v>
      </c>
      <c r="BH7" s="353">
        <f>SUM(BF7,BG7)</f>
        <v>0</v>
      </c>
      <c r="BI7" s="344">
        <f>SUM($Q7,$S7,$U7,$W7,$Y7,$AA7,$AC7,$AE7,$AG7)</f>
        <v>0</v>
      </c>
      <c r="BJ7" s="352">
        <f>SUM($R7,$T7,$V7,$X7,$Z7,$AB7,$AD7,$AF7,$AH7)</f>
        <v>0</v>
      </c>
      <c r="BK7" s="353">
        <f>SUM(BI7,BJ7)</f>
        <v>0</v>
      </c>
      <c r="BL7" s="344">
        <f>SUM($S7,$U7,$W7,$Y7,$AA7,$AC7,$AE7,$AG7)</f>
        <v>0</v>
      </c>
      <c r="BM7" s="352">
        <f>SUM($T7,$V7,$X7,$Z7,$AB7,$AD7,$AF7,$AH7)</f>
        <v>0</v>
      </c>
      <c r="BN7" s="353">
        <f>SUM(BL7,BM7)</f>
        <v>0</v>
      </c>
      <c r="BO7" s="344">
        <f>SUM($U7,$W7,$Y7,$AA7,$AC7,$AE7,$AG7)</f>
        <v>0</v>
      </c>
      <c r="BP7" s="352">
        <f>SUM($V7,$X7,$Z7,$AB7,$AD7,$AF7,$AH7)</f>
        <v>0</v>
      </c>
      <c r="BQ7" s="353">
        <f>SUM(BO7,BP7)</f>
        <v>0</v>
      </c>
      <c r="BR7" s="344">
        <f>SUM($W7,$Y7,$AA7,$AC7,$AE7,$AG7)</f>
        <v>0</v>
      </c>
      <c r="BS7" s="352">
        <f>SUM($X7,$Z7,$AB7,$AD7,$AF7,$AH7)</f>
        <v>0</v>
      </c>
      <c r="BT7" s="353">
        <f>SUM(BR7,BS7)</f>
        <v>0</v>
      </c>
      <c r="BU7" s="344">
        <f>SUM($Y7,$AA7,$AC7,$AE7,$AG7)</f>
        <v>0</v>
      </c>
      <c r="BV7" s="352">
        <f>SUM($Z7,$AB7,$AD7,$AF7,$AH7)</f>
        <v>0</v>
      </c>
      <c r="BW7" s="353">
        <f>SUM(BU7,BV7)</f>
        <v>0</v>
      </c>
      <c r="BX7" s="344">
        <f>SUM($AA7,$AC7,$AE7,$AG7)</f>
        <v>0</v>
      </c>
      <c r="BY7" s="352">
        <f>SUM($AB7,$AD7,$AF7,$AH7)</f>
        <v>0</v>
      </c>
      <c r="BZ7" s="353">
        <f>SUM(BX7,BY7)</f>
        <v>0</v>
      </c>
      <c r="CA7" s="344">
        <f>SUM($AC7,$AE7,$AG7)</f>
        <v>0</v>
      </c>
      <c r="CB7" s="352">
        <f>SUM($AD7,$AF7,$AH7)</f>
        <v>0</v>
      </c>
      <c r="CC7" s="353">
        <f>SUM(CA7,CB7)</f>
        <v>0</v>
      </c>
      <c r="CD7" s="344">
        <f>SUM($AE7,$AG7)</f>
        <v>0</v>
      </c>
      <c r="CE7" s="352">
        <f>SUM($AF7,$AH7)</f>
        <v>0</v>
      </c>
      <c r="CF7" s="353">
        <f>SUM(CD7,CE7)</f>
        <v>0</v>
      </c>
      <c r="CG7" s="344">
        <f>SUM($AG7)</f>
        <v>0</v>
      </c>
      <c r="CH7" s="352">
        <f>SUM($AH7)</f>
        <v>0</v>
      </c>
      <c r="CI7" s="353">
        <f>SUM(CG7,CH7)</f>
        <v>0</v>
      </c>
      <c r="CJ7" s="344">
        <f>SUM($AG7)</f>
        <v>0</v>
      </c>
      <c r="CK7" s="352">
        <f>SUM($AH7)</f>
        <v>0</v>
      </c>
      <c r="CL7" s="353">
        <f>SUM(CJ7,CK7)</f>
        <v>0</v>
      </c>
      <c r="CM7" s="344">
        <f>SUM($AG7)</f>
        <v>0</v>
      </c>
      <c r="CN7" s="352">
        <f>SUM($AH7)</f>
        <v>0</v>
      </c>
      <c r="CO7" s="353">
        <f>SUM(CM7,CN7)</f>
        <v>0</v>
      </c>
      <c r="CP7" s="344">
        <f>SUM($AG7)</f>
        <v>0</v>
      </c>
      <c r="CQ7" s="352">
        <f>SUM($AH7)</f>
        <v>0</v>
      </c>
      <c r="CR7" s="353">
        <f>SUM(CP7,CQ7)</f>
        <v>0</v>
      </c>
      <c r="CS7" s="344">
        <f>SUM($AG7)</f>
        <v>0</v>
      </c>
      <c r="CT7" s="352">
        <f>SUM($AH7)</f>
        <v>0</v>
      </c>
      <c r="CU7" s="353">
        <f>SUM(CS7,CT7)</f>
        <v>0</v>
      </c>
      <c r="CV7" s="344">
        <f>SUM($AG7)</f>
        <v>0</v>
      </c>
      <c r="CW7" s="352">
        <f>SUM($AH7)</f>
        <v>0</v>
      </c>
      <c r="CX7" s="353">
        <f>SUM(CV7,CW7)</f>
        <v>0</v>
      </c>
    </row>
    <row r="8" spans="1:102" s="215" customFormat="1">
      <c r="A8" s="342" t="str">
        <f>'HSZ do groszy'!A8</f>
        <v xml:space="preserve"> -</v>
      </c>
      <c r="B8" s="343">
        <f>ROUNDUP('HSZ do groszy'!B8,0)</f>
        <v>0</v>
      </c>
      <c r="C8" s="344">
        <f>ROUNDUP('HSZ do groszy'!C8,0)</f>
        <v>0</v>
      </c>
      <c r="D8" s="345">
        <f>ROUNDUP('HSZ do groszy'!D8,0)</f>
        <v>0</v>
      </c>
      <c r="E8" s="346">
        <f t="shared" si="0"/>
        <v>0</v>
      </c>
      <c r="F8" s="347">
        <f t="shared" si="1"/>
        <v>0</v>
      </c>
      <c r="G8" s="344">
        <f>ROUNDUP('HSZ do groszy'!G8,0)</f>
        <v>0</v>
      </c>
      <c r="H8" s="345">
        <f>ROUNDUP('HSZ do groszy'!H8,0)</f>
        <v>0</v>
      </c>
      <c r="I8" s="344">
        <f>ROUNDUP('HSZ do groszy'!I8,0)</f>
        <v>0</v>
      </c>
      <c r="J8" s="345">
        <f>ROUNDUP('HSZ do groszy'!J8,0)</f>
        <v>0</v>
      </c>
      <c r="K8" s="348">
        <f>ROUNDUP('HSZ do groszy'!K8,0)</f>
        <v>0</v>
      </c>
      <c r="L8" s="343">
        <f>ROUNDUP('HSZ do groszy'!L8,0)</f>
        <v>0</v>
      </c>
      <c r="M8" s="344">
        <f>ROUNDUP('HSZ do groszy'!M8,0)</f>
        <v>0</v>
      </c>
      <c r="N8" s="345">
        <f>ROUNDUP('HSZ do groszy'!N8,0)</f>
        <v>0</v>
      </c>
      <c r="O8" s="348">
        <f>ROUNDUP('HSZ do groszy'!O8,0)</f>
        <v>0</v>
      </c>
      <c r="P8" s="343">
        <f>ROUNDUP('HSZ do groszy'!P8,0)</f>
        <v>0</v>
      </c>
      <c r="Q8" s="344">
        <f>ROUNDUP('HSZ do groszy'!Q8,0)</f>
        <v>0</v>
      </c>
      <c r="R8" s="345">
        <f>ROUNDUP('HSZ do groszy'!R8,0)</f>
        <v>0</v>
      </c>
      <c r="S8" s="348">
        <f>ROUNDUP('HSZ do groszy'!S8,0)</f>
        <v>0</v>
      </c>
      <c r="T8" s="343">
        <f>ROUNDUP('HSZ do groszy'!T8,0)</f>
        <v>0</v>
      </c>
      <c r="U8" s="344">
        <f>ROUNDUP('HSZ do groszy'!U8,0)</f>
        <v>0</v>
      </c>
      <c r="V8" s="345">
        <f>ROUNDUP('HSZ do groszy'!V8,0)</f>
        <v>0</v>
      </c>
      <c r="W8" s="348">
        <f>ROUNDUP('HSZ do groszy'!W8,0)</f>
        <v>0</v>
      </c>
      <c r="X8" s="343">
        <f>ROUNDUP('HSZ do groszy'!X8,0)</f>
        <v>0</v>
      </c>
      <c r="Y8" s="344">
        <f>ROUNDUP('HSZ do groszy'!Y8,0)</f>
        <v>0</v>
      </c>
      <c r="Z8" s="345">
        <f>ROUNDUP('HSZ do groszy'!Z8,0)</f>
        <v>0</v>
      </c>
      <c r="AA8" s="348">
        <f>ROUNDUP('HSZ do groszy'!AA8,0)</f>
        <v>0</v>
      </c>
      <c r="AB8" s="343">
        <f>ROUNDUP('HSZ do groszy'!AB8,0)</f>
        <v>0</v>
      </c>
      <c r="AC8" s="344">
        <f>ROUNDUP('HSZ do groszy'!AC8,0)</f>
        <v>0</v>
      </c>
      <c r="AD8" s="345">
        <f>ROUNDUP('HSZ do groszy'!AD8,0)</f>
        <v>0</v>
      </c>
      <c r="AE8" s="348">
        <f>ROUNDUP('HSZ do groszy'!AE8,0)</f>
        <v>0</v>
      </c>
      <c r="AF8" s="345">
        <f>ROUNDUP('HSZ do groszy'!AF8,0)</f>
        <v>0</v>
      </c>
      <c r="AG8" s="348">
        <f>ROUNDUP('HSZ do groszy'!AG8,0)</f>
        <v>0</v>
      </c>
      <c r="AH8" s="349">
        <f>ROUNDUP('HSZ do groszy'!AH8,0)</f>
        <v>0</v>
      </c>
      <c r="AI8" s="348">
        <f>ROUNDUP('HSZ do groszy'!AI8,0)</f>
        <v>0</v>
      </c>
      <c r="AJ8" s="349">
        <f>ROUNDUP('HSZ do groszy'!AJ8,0)</f>
        <v>0</v>
      </c>
      <c r="AK8" s="348">
        <f>ROUNDUP('HSZ do groszy'!AK8,0)</f>
        <v>0</v>
      </c>
      <c r="AL8" s="349">
        <f>ROUNDUP('HSZ do groszy'!AL8,0)</f>
        <v>0</v>
      </c>
      <c r="AM8" s="348">
        <f>ROUNDUP('HSZ do groszy'!AM8,0)</f>
        <v>0</v>
      </c>
      <c r="AN8" s="349">
        <f>ROUNDUP('HSZ do groszy'!AN8,0)</f>
        <v>0</v>
      </c>
      <c r="AO8" s="348">
        <f>ROUNDUP('HSZ do groszy'!AO8,0)</f>
        <v>0</v>
      </c>
      <c r="AP8" s="349">
        <f>ROUNDUP('HSZ do groszy'!AP8,0)</f>
        <v>0</v>
      </c>
      <c r="AQ8" s="348">
        <f>ROUNDUP('HSZ do groszy'!AQ8,0)</f>
        <v>0</v>
      </c>
      <c r="AR8" s="349">
        <f>ROUNDUP('HSZ do groszy'!AR8,0)</f>
        <v>0</v>
      </c>
      <c r="AS8" s="354"/>
      <c r="AT8" s="354"/>
      <c r="AU8" s="350" t="str">
        <f t="shared" si="2"/>
        <v xml:space="preserve"> -</v>
      </c>
      <c r="AV8" s="351">
        <f t="shared" si="2"/>
        <v>0</v>
      </c>
      <c r="AW8" s="344">
        <f>SUM($I8,$K8,$M8,$O8,$Q8,$S8,$U8,$W8,$Y8,$AA8,$AC8,$AE8,$AG8)</f>
        <v>0</v>
      </c>
      <c r="AX8" s="352">
        <f>SUM($J8,$L8,$N8,$P8,$R8,$T8,$V8,$X8,$Z8,$AB8,$AD8,$AF8,$AH8)</f>
        <v>0</v>
      </c>
      <c r="AY8" s="353">
        <f>SUM(AW8,AX8)</f>
        <v>0</v>
      </c>
      <c r="AZ8" s="344">
        <f>SUM($K8,$M8,$O8,$Q8,$S8,$U8,$W8,$Y8,$AA8,$AC8,$AE8,$AG8)</f>
        <v>0</v>
      </c>
      <c r="BA8" s="352">
        <f>SUM($L8,$N8,$P8,$R8,$T8,$V8,$X8,$Z8,$AB8,$AD8,$AF8,$AH8)</f>
        <v>0</v>
      </c>
      <c r="BB8" s="353">
        <f>SUM(AZ8,BA8)</f>
        <v>0</v>
      </c>
      <c r="BC8" s="344">
        <f>SUM($M8,$O8,$Q8,$S8,$U8,$W8,$Y8,$AA8,$AC8,$AE8,$AG8)</f>
        <v>0</v>
      </c>
      <c r="BD8" s="352">
        <f>SUM($N8,$P8,$R8,$T8,$V8,$X8,$Z8,$AB8,$AD8,$AF8,$AH8)</f>
        <v>0</v>
      </c>
      <c r="BE8" s="353">
        <f>SUM(BC8,BD8)</f>
        <v>0</v>
      </c>
      <c r="BF8" s="344">
        <f>SUM($O8,$Q8,$S8,$U8,$W8,$Y8,$AA8,$AC8,$AE8,$AG8)</f>
        <v>0</v>
      </c>
      <c r="BG8" s="352">
        <f>SUM($P8,$R8,$T8,$V8,$X8,$Z8,$AB8,$AD8,$AF8,$AH8)</f>
        <v>0</v>
      </c>
      <c r="BH8" s="353">
        <f>SUM(BF8,BG8)</f>
        <v>0</v>
      </c>
      <c r="BI8" s="344">
        <f>SUM($Q8,$S8,$U8,$W8,$Y8,$AA8,$AC8,$AE8,$AG8)</f>
        <v>0</v>
      </c>
      <c r="BJ8" s="352">
        <f>SUM($R8,$T8,$V8,$X8,$Z8,$AB8,$AD8,$AF8,$AH8)</f>
        <v>0</v>
      </c>
      <c r="BK8" s="353">
        <f>SUM(BI8,BJ8)</f>
        <v>0</v>
      </c>
      <c r="BL8" s="344">
        <f>SUM($S8,$U8,$W8,$Y8,$AA8,$AC8,$AE8,$AG8)</f>
        <v>0</v>
      </c>
      <c r="BM8" s="352">
        <f>SUM($T8,$V8,$X8,$Z8,$AB8,$AD8,$AF8,$AH8)</f>
        <v>0</v>
      </c>
      <c r="BN8" s="353">
        <f>SUM(BL8,BM8)</f>
        <v>0</v>
      </c>
      <c r="BO8" s="344">
        <f>SUM($U8,$W8,$Y8,$AA8,$AC8,$AE8,$AG8)</f>
        <v>0</v>
      </c>
      <c r="BP8" s="352">
        <f>SUM($V8,$X8,$Z8,$AB8,$AD8,$AF8,$AH8)</f>
        <v>0</v>
      </c>
      <c r="BQ8" s="353">
        <f>SUM(BO8,BP8)</f>
        <v>0</v>
      </c>
      <c r="BR8" s="344">
        <f>SUM($W8,$Y8,$AA8,$AC8,$AE8,$AG8)</f>
        <v>0</v>
      </c>
      <c r="BS8" s="352">
        <f>SUM($X8,$Z8,$AB8,$AD8,$AF8,$AH8)</f>
        <v>0</v>
      </c>
      <c r="BT8" s="353">
        <f>SUM(BR8,BS8)</f>
        <v>0</v>
      </c>
      <c r="BU8" s="344">
        <f>SUM($Y8,$AA8,$AC8,$AE8,$AG8)</f>
        <v>0</v>
      </c>
      <c r="BV8" s="352">
        <f>SUM($Z8,$AB8,$AD8,$AF8,$AH8)</f>
        <v>0</v>
      </c>
      <c r="BW8" s="353">
        <f>SUM(BU8,BV8)</f>
        <v>0</v>
      </c>
      <c r="BX8" s="344">
        <f>SUM($AA8,$AC8,$AE8,$AG8)</f>
        <v>0</v>
      </c>
      <c r="BY8" s="352">
        <f>SUM($AB8,$AD8,$AF8,$AH8)</f>
        <v>0</v>
      </c>
      <c r="BZ8" s="353">
        <f>SUM(BX8,BY8)</f>
        <v>0</v>
      </c>
      <c r="CA8" s="344">
        <f>SUM($AC8,$AE8,$AG8)</f>
        <v>0</v>
      </c>
      <c r="CB8" s="352">
        <f>SUM($AD8,$AF8,$AH8)</f>
        <v>0</v>
      </c>
      <c r="CC8" s="353">
        <f>SUM(CA8,CB8)</f>
        <v>0</v>
      </c>
      <c r="CD8" s="344">
        <f>SUM($AE8,$AG8)</f>
        <v>0</v>
      </c>
      <c r="CE8" s="352">
        <f>SUM($AF8,$AH8)</f>
        <v>0</v>
      </c>
      <c r="CF8" s="353">
        <f>SUM(CD8,CE8)</f>
        <v>0</v>
      </c>
      <c r="CG8" s="344">
        <f>SUM($AG8)</f>
        <v>0</v>
      </c>
      <c r="CH8" s="352">
        <f>SUM($AH8)</f>
        <v>0</v>
      </c>
      <c r="CI8" s="353">
        <f>SUM(CG8,CH8)</f>
        <v>0</v>
      </c>
      <c r="CJ8" s="344">
        <f>SUM($AG8)</f>
        <v>0</v>
      </c>
      <c r="CK8" s="352">
        <f>SUM($AH8)</f>
        <v>0</v>
      </c>
      <c r="CL8" s="353">
        <f>SUM(CJ8,CK8)</f>
        <v>0</v>
      </c>
      <c r="CM8" s="344">
        <f>SUM($AG8)</f>
        <v>0</v>
      </c>
      <c r="CN8" s="352">
        <f>SUM($AH8)</f>
        <v>0</v>
      </c>
      <c r="CO8" s="353">
        <f>SUM(CM8,CN8)</f>
        <v>0</v>
      </c>
      <c r="CP8" s="344">
        <f>SUM($AG8)</f>
        <v>0</v>
      </c>
      <c r="CQ8" s="352">
        <f>SUM($AH8)</f>
        <v>0</v>
      </c>
      <c r="CR8" s="353">
        <f>SUM(CP8,CQ8)</f>
        <v>0</v>
      </c>
      <c r="CS8" s="344">
        <f>SUM($AG8)</f>
        <v>0</v>
      </c>
      <c r="CT8" s="352">
        <f>SUM($AH8)</f>
        <v>0</v>
      </c>
      <c r="CU8" s="353">
        <f>SUM(CS8,CT8)</f>
        <v>0</v>
      </c>
      <c r="CV8" s="344">
        <f>SUM($AG8)</f>
        <v>0</v>
      </c>
      <c r="CW8" s="352">
        <f>SUM($AH8)</f>
        <v>0</v>
      </c>
      <c r="CX8" s="353">
        <f>SUM(CV8,CW8)</f>
        <v>0</v>
      </c>
    </row>
    <row r="9" spans="1:102">
      <c r="A9" s="342" t="str">
        <f>'HSZ do groszy'!A9</f>
        <v xml:space="preserve"> -</v>
      </c>
      <c r="B9" s="343">
        <f>ROUNDUP('HSZ do groszy'!B9,0)</f>
        <v>0</v>
      </c>
      <c r="C9" s="344">
        <f>ROUNDUP('HSZ do groszy'!C9,0)</f>
        <v>0</v>
      </c>
      <c r="D9" s="345">
        <f>ROUNDUP('HSZ do groszy'!D9,0)</f>
        <v>0</v>
      </c>
      <c r="E9" s="346">
        <f t="shared" si="0"/>
        <v>0</v>
      </c>
      <c r="F9" s="347">
        <f t="shared" si="1"/>
        <v>0</v>
      </c>
      <c r="G9" s="344">
        <f>ROUNDUP('HSZ do groszy'!G9,0)</f>
        <v>0</v>
      </c>
      <c r="H9" s="345">
        <f>ROUNDUP('HSZ do groszy'!H9,0)</f>
        <v>0</v>
      </c>
      <c r="I9" s="344">
        <f>ROUNDUP('HSZ do groszy'!I9,0)</f>
        <v>0</v>
      </c>
      <c r="J9" s="345">
        <f>ROUNDUP('HSZ do groszy'!J9,0)</f>
        <v>0</v>
      </c>
      <c r="K9" s="348">
        <f>ROUNDUP('HSZ do groszy'!K9,0)</f>
        <v>0</v>
      </c>
      <c r="L9" s="343">
        <f>ROUNDUP('HSZ do groszy'!L9,0)</f>
        <v>0</v>
      </c>
      <c r="M9" s="344">
        <f>ROUNDUP('HSZ do groszy'!M9,0)</f>
        <v>0</v>
      </c>
      <c r="N9" s="345">
        <f>ROUNDUP('HSZ do groszy'!N9,0)</f>
        <v>0</v>
      </c>
      <c r="O9" s="348">
        <f>ROUNDUP('HSZ do groszy'!O9,0)</f>
        <v>0</v>
      </c>
      <c r="P9" s="343">
        <f>ROUNDUP('HSZ do groszy'!P9,0)</f>
        <v>0</v>
      </c>
      <c r="Q9" s="344">
        <f>ROUNDUP('HSZ do groszy'!Q9,0)</f>
        <v>0</v>
      </c>
      <c r="R9" s="345">
        <f>ROUNDUP('HSZ do groszy'!R9,0)</f>
        <v>0</v>
      </c>
      <c r="S9" s="348">
        <f>ROUNDUP('HSZ do groszy'!S9,0)</f>
        <v>0</v>
      </c>
      <c r="T9" s="343">
        <f>ROUNDUP('HSZ do groszy'!T9,0)</f>
        <v>0</v>
      </c>
      <c r="U9" s="344">
        <f>ROUNDUP('HSZ do groszy'!U9,0)</f>
        <v>0</v>
      </c>
      <c r="V9" s="345">
        <f>ROUNDUP('HSZ do groszy'!V9,0)</f>
        <v>0</v>
      </c>
      <c r="W9" s="348">
        <f>ROUNDUP('HSZ do groszy'!W9,0)</f>
        <v>0</v>
      </c>
      <c r="X9" s="343">
        <f>ROUNDUP('HSZ do groszy'!X9,0)</f>
        <v>0</v>
      </c>
      <c r="Y9" s="344">
        <f>ROUNDUP('HSZ do groszy'!Y9,0)</f>
        <v>0</v>
      </c>
      <c r="Z9" s="345">
        <f>ROUNDUP('HSZ do groszy'!Z9,0)</f>
        <v>0</v>
      </c>
      <c r="AA9" s="348">
        <f>ROUNDUP('HSZ do groszy'!AA9,0)</f>
        <v>0</v>
      </c>
      <c r="AB9" s="343">
        <f>ROUNDUP('HSZ do groszy'!AB9,0)</f>
        <v>0</v>
      </c>
      <c r="AC9" s="344">
        <f>ROUNDUP('HSZ do groszy'!AC9,0)</f>
        <v>0</v>
      </c>
      <c r="AD9" s="345">
        <f>ROUNDUP('HSZ do groszy'!AD9,0)</f>
        <v>0</v>
      </c>
      <c r="AE9" s="348">
        <f>ROUNDUP('HSZ do groszy'!AE9,0)</f>
        <v>0</v>
      </c>
      <c r="AF9" s="345">
        <f>ROUNDUP('HSZ do groszy'!AF9,0)</f>
        <v>0</v>
      </c>
      <c r="AG9" s="348">
        <f>ROUNDUP('HSZ do groszy'!AG9,0)</f>
        <v>0</v>
      </c>
      <c r="AH9" s="349">
        <f>ROUNDUP('HSZ do groszy'!AH9,0)</f>
        <v>0</v>
      </c>
      <c r="AI9" s="348">
        <f>ROUNDUP('HSZ do groszy'!AI9,0)</f>
        <v>0</v>
      </c>
      <c r="AJ9" s="349">
        <f>ROUNDUP('HSZ do groszy'!AJ9,0)</f>
        <v>0</v>
      </c>
      <c r="AK9" s="348">
        <f>ROUNDUP('HSZ do groszy'!AK9,0)</f>
        <v>0</v>
      </c>
      <c r="AL9" s="349">
        <f>ROUNDUP('HSZ do groszy'!AL9,0)</f>
        <v>0</v>
      </c>
      <c r="AM9" s="348">
        <f>ROUNDUP('HSZ do groszy'!AM9,0)</f>
        <v>0</v>
      </c>
      <c r="AN9" s="349">
        <f>ROUNDUP('HSZ do groszy'!AN9,0)</f>
        <v>0</v>
      </c>
      <c r="AO9" s="348">
        <f>ROUNDUP('HSZ do groszy'!AO9,0)</f>
        <v>0</v>
      </c>
      <c r="AP9" s="349">
        <f>ROUNDUP('HSZ do groszy'!AP9,0)</f>
        <v>0</v>
      </c>
      <c r="AQ9" s="348">
        <f>ROUNDUP('HSZ do groszy'!AQ9,0)</f>
        <v>0</v>
      </c>
      <c r="AR9" s="349">
        <f>ROUNDUP('HSZ do groszy'!AR9,0)</f>
        <v>0</v>
      </c>
      <c r="AS9" s="193"/>
      <c r="AT9" s="193"/>
      <c r="AU9" s="350" t="str">
        <f t="shared" si="2"/>
        <v xml:space="preserve"> -</v>
      </c>
      <c r="AV9" s="351">
        <f t="shared" si="2"/>
        <v>0</v>
      </c>
      <c r="AW9" s="344">
        <f>SUM($I9,$K9,$M9,$O9,$Q9,$S9,$U9,$W9,$Y9,$AA9,$AC9,$AE9,$AG9)</f>
        <v>0</v>
      </c>
      <c r="AX9" s="352">
        <f>SUM($J9,$L9,$N9,$P9,$R9,$T9,$V9,$X9,$Z9,$AB9,$AD9,$AF9,$AH9)</f>
        <v>0</v>
      </c>
      <c r="AY9" s="353">
        <f>SUM(AW9,AX9)</f>
        <v>0</v>
      </c>
      <c r="AZ9" s="344">
        <f>SUM($K9,$M9,$O9,$Q9,$S9,$U9,$W9,$Y9,$AA9,$AC9,$AE9,$AG9)</f>
        <v>0</v>
      </c>
      <c r="BA9" s="352">
        <f>SUM($L9,$N9,$P9,$R9,$T9,$V9,$X9,$Z9,$AB9,$AD9,$AF9,$AH9)</f>
        <v>0</v>
      </c>
      <c r="BB9" s="353">
        <f>SUM(AZ9,BA9)</f>
        <v>0</v>
      </c>
      <c r="BC9" s="344">
        <f>SUM($M9,$O9,$Q9,$S9,$U9,$W9,$Y9,$AA9,$AC9,$AE9,$AG9)</f>
        <v>0</v>
      </c>
      <c r="BD9" s="352">
        <f>SUM($N9,$P9,$R9,$T9,$V9,$X9,$Z9,$AB9,$AD9,$AF9,$AH9)</f>
        <v>0</v>
      </c>
      <c r="BE9" s="353">
        <f>SUM(BC9,BD9)</f>
        <v>0</v>
      </c>
      <c r="BF9" s="344">
        <f>SUM($O9,$Q9,$S9,$U9,$W9,$Y9,$AA9,$AC9,$AE9,$AG9)</f>
        <v>0</v>
      </c>
      <c r="BG9" s="352">
        <f>SUM($P9,$R9,$T9,$V9,$X9,$Z9,$AB9,$AD9,$AF9,$AH9)</f>
        <v>0</v>
      </c>
      <c r="BH9" s="353">
        <f>SUM(BF9,BG9)</f>
        <v>0</v>
      </c>
      <c r="BI9" s="344">
        <f>SUM($Q9,$S9,$U9,$W9,$Y9,$AA9,$AC9,$AE9,$AG9)</f>
        <v>0</v>
      </c>
      <c r="BJ9" s="352">
        <f>SUM($R9,$T9,$V9,$X9,$Z9,$AB9,$AD9,$AF9,$AH9)</f>
        <v>0</v>
      </c>
      <c r="BK9" s="353">
        <f>SUM(BI9,BJ9)</f>
        <v>0</v>
      </c>
      <c r="BL9" s="344">
        <f>SUM($S9,$U9,$W9,$Y9,$AA9,$AC9,$AE9,$AG9)</f>
        <v>0</v>
      </c>
      <c r="BM9" s="352">
        <f>SUM($T9,$V9,$X9,$Z9,$AB9,$AD9,$AF9,$AH9)</f>
        <v>0</v>
      </c>
      <c r="BN9" s="353">
        <f>SUM(BL9,BM9)</f>
        <v>0</v>
      </c>
      <c r="BO9" s="344">
        <f>SUM($U9,$W9,$Y9,$AA9,$AC9,$AE9,$AG9)</f>
        <v>0</v>
      </c>
      <c r="BP9" s="352">
        <f>SUM($V9,$X9,$Z9,$AB9,$AD9,$AF9,$AH9)</f>
        <v>0</v>
      </c>
      <c r="BQ9" s="353">
        <f>SUM(BO9,BP9)</f>
        <v>0</v>
      </c>
      <c r="BR9" s="344">
        <f>SUM($W9,$Y9,$AA9,$AC9,$AE9,$AG9)</f>
        <v>0</v>
      </c>
      <c r="BS9" s="352">
        <f>SUM($X9,$Z9,$AB9,$AD9,$AF9,$AH9)</f>
        <v>0</v>
      </c>
      <c r="BT9" s="353">
        <f>SUM(BR9,BS9)</f>
        <v>0</v>
      </c>
      <c r="BU9" s="344">
        <f>SUM($Y9,$AA9,$AC9,$AE9,$AG9)</f>
        <v>0</v>
      </c>
      <c r="BV9" s="352">
        <f>SUM($Z9,$AB9,$AD9,$AF9,$AH9)</f>
        <v>0</v>
      </c>
      <c r="BW9" s="353">
        <f>SUM(BU9,BV9)</f>
        <v>0</v>
      </c>
      <c r="BX9" s="344">
        <f>SUM($AA9,$AC9,$AE9,$AG9)</f>
        <v>0</v>
      </c>
      <c r="BY9" s="352">
        <f>SUM($AB9,$AD9,$AF9,$AH9)</f>
        <v>0</v>
      </c>
      <c r="BZ9" s="353">
        <f>SUM(BX9,BY9)</f>
        <v>0</v>
      </c>
      <c r="CA9" s="344">
        <f>SUM($AC9,$AE9,$AG9)</f>
        <v>0</v>
      </c>
      <c r="CB9" s="352">
        <f>SUM($AD9,$AF9,$AH9)</f>
        <v>0</v>
      </c>
      <c r="CC9" s="353">
        <f>SUM(CA9,CB9)</f>
        <v>0</v>
      </c>
      <c r="CD9" s="344">
        <f>SUM($AE9,$AG9)</f>
        <v>0</v>
      </c>
      <c r="CE9" s="352">
        <f>SUM($AF9,$AH9)</f>
        <v>0</v>
      </c>
      <c r="CF9" s="353">
        <f>SUM(CD9,CE9)</f>
        <v>0</v>
      </c>
      <c r="CG9" s="344">
        <f>SUM($AG9)</f>
        <v>0</v>
      </c>
      <c r="CH9" s="352">
        <f>SUM($AH9)</f>
        <v>0</v>
      </c>
      <c r="CI9" s="353">
        <f>SUM(CG9,CH9)</f>
        <v>0</v>
      </c>
      <c r="CJ9" s="344">
        <f>SUM($AG9)</f>
        <v>0</v>
      </c>
      <c r="CK9" s="352">
        <f>SUM($AH9)</f>
        <v>0</v>
      </c>
      <c r="CL9" s="353">
        <f>SUM(CJ9,CK9)</f>
        <v>0</v>
      </c>
      <c r="CM9" s="344">
        <f>SUM($AG9)</f>
        <v>0</v>
      </c>
      <c r="CN9" s="352">
        <f>SUM($AH9)</f>
        <v>0</v>
      </c>
      <c r="CO9" s="353">
        <f>SUM(CM9,CN9)</f>
        <v>0</v>
      </c>
      <c r="CP9" s="344">
        <f>SUM($AG9)</f>
        <v>0</v>
      </c>
      <c r="CQ9" s="352">
        <f>SUM($AH9)</f>
        <v>0</v>
      </c>
      <c r="CR9" s="353">
        <f>SUM(CP9,CQ9)</f>
        <v>0</v>
      </c>
      <c r="CS9" s="344">
        <f>SUM($AG9)</f>
        <v>0</v>
      </c>
      <c r="CT9" s="352">
        <f>SUM($AH9)</f>
        <v>0</v>
      </c>
      <c r="CU9" s="353">
        <f>SUM(CS9,CT9)</f>
        <v>0</v>
      </c>
      <c r="CV9" s="344">
        <f>SUM($AG9)</f>
        <v>0</v>
      </c>
      <c r="CW9" s="352">
        <f>SUM($AH9)</f>
        <v>0</v>
      </c>
      <c r="CX9" s="353">
        <f>SUM(CV9,CW9)</f>
        <v>0</v>
      </c>
    </row>
    <row r="10" spans="1:102">
      <c r="A10" s="342" t="str">
        <f>'HSZ do groszy'!A10</f>
        <v>kredyt jessica 2013</v>
      </c>
      <c r="B10" s="355">
        <f>ROUNDUP('HSZ do groszy'!B10,0)</f>
        <v>0</v>
      </c>
      <c r="C10" s="344">
        <f>ROUNDUP('HSZ do groszy'!C10,0)</f>
        <v>0</v>
      </c>
      <c r="D10" s="345">
        <f>ROUNDUP('HSZ do groszy'!D10,0)</f>
        <v>0</v>
      </c>
      <c r="E10" s="346">
        <f>SUM(M10,O10,Q10,S10,U10,W10,Y10,AA10,AC10,AE10,AG10,AI10,AK10,AM10,AO10,AQ10)</f>
        <v>4200000</v>
      </c>
      <c r="F10" s="346">
        <f>SUM(J10,L10,N10,P10,R10,T10,V10,X10,Z10,AB10,AD10,AF10,AH10,AJ10,AL10,AN10,AP10,AR10)</f>
        <v>2220867</v>
      </c>
      <c r="G10" s="344">
        <f>ROUNDUP('HSZ do groszy'!G10,0)</f>
        <v>0</v>
      </c>
      <c r="H10" s="345">
        <f>ROUNDUP('HSZ do groszy'!H10,0)</f>
        <v>0</v>
      </c>
      <c r="I10" s="344">
        <f>ROUNDUP('HSZ do groszy'!I10,0)</f>
        <v>0</v>
      </c>
      <c r="J10" s="345">
        <f>ROUNDUP('HSZ do groszy'!J10,0)</f>
        <v>42268</v>
      </c>
      <c r="K10" s="348">
        <f>ROUNDUP('HSZ do groszy'!K10,0)</f>
        <v>0</v>
      </c>
      <c r="L10" s="343">
        <f>ROUNDUP('HSZ do groszy'!L10,0)</f>
        <v>288074</v>
      </c>
      <c r="M10" s="344">
        <f>ROUNDUP('HSZ do groszy'!M10,0)</f>
        <v>323077</v>
      </c>
      <c r="N10" s="345">
        <f>ROUNDUP('HSZ do groszy'!N10,0)</f>
        <v>240942</v>
      </c>
      <c r="O10" s="348">
        <f>ROUNDUP('HSZ do groszy'!O10,0)</f>
        <v>323077</v>
      </c>
      <c r="P10" s="343">
        <f>ROUNDUP('HSZ do groszy'!P10,0)</f>
        <v>228423</v>
      </c>
      <c r="Q10" s="344">
        <f>ROUNDUP('HSZ do groszy'!Q10,0)</f>
        <v>323077</v>
      </c>
      <c r="R10" s="345">
        <f>ROUNDUP('HSZ do groszy'!R10,0)</f>
        <v>215117</v>
      </c>
      <c r="S10" s="348">
        <f>ROUNDUP('HSZ do groszy'!S10,0)</f>
        <v>323077</v>
      </c>
      <c r="T10" s="343">
        <f>ROUNDUP('HSZ do groszy'!T10,0)</f>
        <v>200973</v>
      </c>
      <c r="U10" s="344">
        <f>ROUNDUP('HSZ do groszy'!U10,0)</f>
        <v>323077</v>
      </c>
      <c r="V10" s="345">
        <f>ROUNDUP('HSZ do groszy'!V10,0)</f>
        <v>185939</v>
      </c>
      <c r="W10" s="348">
        <f>ROUNDUP('HSZ do groszy'!W10,0)</f>
        <v>323077</v>
      </c>
      <c r="X10" s="343">
        <f>ROUNDUP('HSZ do groszy'!X10,0)</f>
        <v>169959</v>
      </c>
      <c r="Y10" s="344">
        <f>ROUNDUP('HSZ do groszy'!Y10,0)</f>
        <v>323077</v>
      </c>
      <c r="Z10" s="345">
        <f>ROUNDUP('HSZ do groszy'!Z10,0)</f>
        <v>152971</v>
      </c>
      <c r="AA10" s="348">
        <f>ROUNDUP('HSZ do groszy'!AA10,0)</f>
        <v>323077</v>
      </c>
      <c r="AB10" s="343">
        <f>ROUNDUP('HSZ do groszy'!AB10,0)</f>
        <v>134914</v>
      </c>
      <c r="AC10" s="344">
        <f>ROUNDUP('HSZ do groszy'!AC10,0)</f>
        <v>323077</v>
      </c>
      <c r="AD10" s="345">
        <f>ROUNDUP('HSZ do groszy'!AD10,0)</f>
        <v>115720</v>
      </c>
      <c r="AE10" s="348">
        <f>ROUNDUP('HSZ do groszy'!AE10,0)</f>
        <v>323077</v>
      </c>
      <c r="AF10" s="345">
        <f>ROUNDUP('HSZ do groszy'!AF10,0)</f>
        <v>95316</v>
      </c>
      <c r="AG10" s="348">
        <f>ROUNDUP('HSZ do groszy'!AG10,0)</f>
        <v>323077</v>
      </c>
      <c r="AH10" s="349">
        <f>ROUNDUP('HSZ do groszy'!AH10,0)</f>
        <v>73626</v>
      </c>
      <c r="AI10" s="348">
        <f>ROUNDUP('HSZ do groszy'!AI10,0)</f>
        <v>323077</v>
      </c>
      <c r="AJ10" s="349">
        <f>ROUNDUP('HSZ do groszy'!AJ10,0)</f>
        <v>50568</v>
      </c>
      <c r="AK10" s="348">
        <f>ROUNDUP('HSZ do groszy'!AK10,0)-1</f>
        <v>323076</v>
      </c>
      <c r="AL10" s="349">
        <f>ROUNDUP('HSZ do groszy'!AL10,0)</f>
        <v>26057</v>
      </c>
      <c r="AM10" s="348">
        <f>ROUNDUP('HSZ do groszy'!AM10,0)</f>
        <v>0</v>
      </c>
      <c r="AN10" s="349">
        <f>ROUNDUP('HSZ do groszy'!AN10,0)</f>
        <v>0</v>
      </c>
      <c r="AO10" s="348">
        <f>ROUNDUP('HSZ do groszy'!AO10,0)</f>
        <v>0</v>
      </c>
      <c r="AP10" s="349">
        <f>ROUNDUP('HSZ do groszy'!AP10,0)</f>
        <v>0</v>
      </c>
      <c r="AQ10" s="348">
        <f>ROUNDUP('HSZ do groszy'!AQ10,0)</f>
        <v>0</v>
      </c>
      <c r="AR10" s="349">
        <f>ROUNDUP('HSZ do groszy'!AR10,0)</f>
        <v>0</v>
      </c>
      <c r="AS10" s="193"/>
      <c r="AT10" s="193"/>
      <c r="AU10" s="350" t="str">
        <f t="shared" si="2"/>
        <v>kredyt jessica 2013</v>
      </c>
      <c r="AV10" s="351">
        <f t="shared" si="2"/>
        <v>0</v>
      </c>
      <c r="AW10" s="344">
        <v>0</v>
      </c>
      <c r="AX10" s="352">
        <v>0</v>
      </c>
      <c r="AY10" s="353">
        <f>SUM(AW10,AX10)</f>
        <v>0</v>
      </c>
      <c r="AZ10" s="344">
        <v>592000</v>
      </c>
      <c r="BA10" s="352">
        <f>SUM($L10,$N10,$P10,$R10,$T10,$V10,$X10,$Z10,$AB10,$AD10,$AF10,$AH10)</f>
        <v>2101974</v>
      </c>
      <c r="BB10" s="353">
        <f>SUM(AZ10,BA10)</f>
        <v>2693974</v>
      </c>
      <c r="BC10" s="344">
        <v>4200000</v>
      </c>
      <c r="BD10" s="352">
        <f>SUM($N10,$P10,$R10,$T10,$V10,$X10,$Z10,$AB10,$AD10,$AF10,$AH10)</f>
        <v>1813900</v>
      </c>
      <c r="BE10" s="353">
        <f>SUM(BC10,BD10)</f>
        <v>6013900</v>
      </c>
      <c r="BF10" s="344">
        <f>SUM(O10,Q10,S10,U10,W10,Y10,AA10,AC10,AE10,AG10,AI10,AK10)</f>
        <v>3876923</v>
      </c>
      <c r="BG10" s="352">
        <f>SUM($P10,$R10,$T10,$V10,$X10,$Z10,$AB10,$AD10,$AF10,$AH10)</f>
        <v>1572958</v>
      </c>
      <c r="BH10" s="353">
        <f>SUM(BF10,BG10)</f>
        <v>5449881</v>
      </c>
      <c r="BI10" s="344">
        <f>SUM(Q10,S10,U10,W10,Y10,AA10,AC10,AE10,AG10,AI10,AK10)</f>
        <v>3553846</v>
      </c>
      <c r="BJ10" s="352">
        <f>SUM($R10,$T10,$V10,$X10,$Z10,$AB10,$AD10,$AF10,$AH10)</f>
        <v>1344535</v>
      </c>
      <c r="BK10" s="353">
        <f>SUM(BI10,BJ10)</f>
        <v>4898381</v>
      </c>
      <c r="BL10" s="344">
        <f>SUM(S10,U10,W10,Y10,AA10,AC10,AE10,AG10,AI10,AK10)</f>
        <v>3230769</v>
      </c>
      <c r="BM10" s="352">
        <f>SUM($T10,$V10,$X10,$Z10,$AB10,$AD10,$AF10,$AH10)</f>
        <v>1129418</v>
      </c>
      <c r="BN10" s="353">
        <f>SUM(BL10,BM10)</f>
        <v>4360187</v>
      </c>
      <c r="BO10" s="344">
        <f>SUM(U10,W10,Y10,AA10,AC10,AE10,AG10,AI10,AK10)</f>
        <v>2907692</v>
      </c>
      <c r="BP10" s="352">
        <f>SUM($V10,$X10,$Z10,$AB10,$AD10,$AF10,$AH10)</f>
        <v>928445</v>
      </c>
      <c r="BQ10" s="353">
        <f>SUM(BO10,BP10)</f>
        <v>3836137</v>
      </c>
      <c r="BR10" s="344">
        <f>SUM(W10,Y10,AA10,AC10,AE10,AG10,AI10,AK10)</f>
        <v>2584615</v>
      </c>
      <c r="BS10" s="352">
        <f>SUM($X10,$Z10,$AB10,$AD10,$AF10,$AH10)</f>
        <v>742506</v>
      </c>
      <c r="BT10" s="353">
        <f>SUM(BR10,BS10)</f>
        <v>3327121</v>
      </c>
      <c r="BU10" s="344">
        <f>SUM(Y10,AA10,AC10,AE10,AG10,AI10,AK10)</f>
        <v>2261538</v>
      </c>
      <c r="BV10" s="352">
        <f>SUM($Z10,$AB10,$AD10,$AF10,$AH10)</f>
        <v>572547</v>
      </c>
      <c r="BW10" s="353">
        <f>SUM(BU10,BV10)</f>
        <v>2834085</v>
      </c>
      <c r="BX10" s="344">
        <f>SUM(AA10,AC10,AE10,AG10,AI10,AK10)</f>
        <v>1938461</v>
      </c>
      <c r="BY10" s="352">
        <f>SUM($AB10,$AD10,$AF10,$AH10)</f>
        <v>419576</v>
      </c>
      <c r="BZ10" s="353">
        <f>SUM(BX10,BY10)</f>
        <v>2358037</v>
      </c>
      <c r="CA10" s="344">
        <f>SUM(AC10,AE10,AG10,AI10,AK10)</f>
        <v>1615384</v>
      </c>
      <c r="CB10" s="352">
        <f>SUM($AD10,$AF10,$AH10)</f>
        <v>284662</v>
      </c>
      <c r="CC10" s="353">
        <f>SUM(CA10,CB10)</f>
        <v>1900046</v>
      </c>
      <c r="CD10" s="344">
        <f>SUM(AE10,AG10,AI10,AK10)</f>
        <v>1292307</v>
      </c>
      <c r="CE10" s="352">
        <f>SUM($AF10,$AH10)</f>
        <v>168942</v>
      </c>
      <c r="CF10" s="353">
        <f>SUM(CD10,CE10)</f>
        <v>1461249</v>
      </c>
      <c r="CG10" s="344">
        <f>SUM(AG10,AI10,AK10)</f>
        <v>969230</v>
      </c>
      <c r="CH10" s="352">
        <f>SUM($AH10)</f>
        <v>73626</v>
      </c>
      <c r="CI10" s="353">
        <f>SUM(CG10,CH10)</f>
        <v>1042856</v>
      </c>
      <c r="CJ10" s="344">
        <f>SUM(AI10,AK10)</f>
        <v>646153</v>
      </c>
      <c r="CK10" s="352">
        <f>SUM($AH10)</f>
        <v>73626</v>
      </c>
      <c r="CL10" s="353">
        <f>SUM(CJ10,CK10)</f>
        <v>719779</v>
      </c>
      <c r="CM10" s="344">
        <f>SUM(AK10)</f>
        <v>323076</v>
      </c>
      <c r="CN10" s="352">
        <f>SUM($AH10)</f>
        <v>73626</v>
      </c>
      <c r="CO10" s="353">
        <f>SUM(CM10,CN10)</f>
        <v>396702</v>
      </c>
      <c r="CP10" s="344">
        <v>0</v>
      </c>
      <c r="CQ10" s="352">
        <f>SUM($AH10)</f>
        <v>73626</v>
      </c>
      <c r="CR10" s="353">
        <f>SUM(CP10,CQ10)</f>
        <v>73626</v>
      </c>
      <c r="CS10" s="344">
        <v>0</v>
      </c>
      <c r="CT10" s="352">
        <f>SUM($AH10)</f>
        <v>73626</v>
      </c>
      <c r="CU10" s="353">
        <f>SUM(CS10,CT10)</f>
        <v>73626</v>
      </c>
      <c r="CV10" s="344">
        <v>0</v>
      </c>
      <c r="CW10" s="352">
        <f>SUM($AH10)</f>
        <v>73626</v>
      </c>
      <c r="CX10" s="353">
        <f>SUM(CV10,CW10)</f>
        <v>73626</v>
      </c>
    </row>
    <row r="11" spans="1:102">
      <c r="A11" s="356" t="s">
        <v>271</v>
      </c>
      <c r="B11" s="357">
        <f t="shared" ref="B11:AD11" si="3">SUM(B6,B7,B9,B10)</f>
        <v>0</v>
      </c>
      <c r="C11" s="358">
        <f t="shared" si="3"/>
        <v>0</v>
      </c>
      <c r="D11" s="359">
        <f t="shared" si="3"/>
        <v>0</v>
      </c>
      <c r="E11" s="358">
        <f t="shared" si="3"/>
        <v>4200000</v>
      </c>
      <c r="F11" s="359">
        <f t="shared" si="3"/>
        <v>2220867</v>
      </c>
      <c r="G11" s="358">
        <f t="shared" si="3"/>
        <v>0</v>
      </c>
      <c r="H11" s="359">
        <f t="shared" si="3"/>
        <v>0</v>
      </c>
      <c r="I11" s="358">
        <f t="shared" si="3"/>
        <v>0</v>
      </c>
      <c r="J11" s="359">
        <f t="shared" si="3"/>
        <v>42268</v>
      </c>
      <c r="K11" s="360">
        <f t="shared" si="3"/>
        <v>0</v>
      </c>
      <c r="L11" s="361">
        <f t="shared" si="3"/>
        <v>288074</v>
      </c>
      <c r="M11" s="358">
        <f t="shared" si="3"/>
        <v>323077</v>
      </c>
      <c r="N11" s="359">
        <f t="shared" si="3"/>
        <v>240942</v>
      </c>
      <c r="O11" s="360">
        <f t="shared" si="3"/>
        <v>323077</v>
      </c>
      <c r="P11" s="361">
        <f t="shared" si="3"/>
        <v>228423</v>
      </c>
      <c r="Q11" s="358">
        <f t="shared" si="3"/>
        <v>323077</v>
      </c>
      <c r="R11" s="359">
        <f t="shared" si="3"/>
        <v>215117</v>
      </c>
      <c r="S11" s="360">
        <f t="shared" si="3"/>
        <v>323077</v>
      </c>
      <c r="T11" s="361">
        <f t="shared" si="3"/>
        <v>200973</v>
      </c>
      <c r="U11" s="358">
        <f t="shared" si="3"/>
        <v>323077</v>
      </c>
      <c r="V11" s="359">
        <f t="shared" si="3"/>
        <v>185939</v>
      </c>
      <c r="W11" s="360">
        <f t="shared" si="3"/>
        <v>323077</v>
      </c>
      <c r="X11" s="361">
        <f t="shared" si="3"/>
        <v>169959</v>
      </c>
      <c r="Y11" s="358">
        <f t="shared" si="3"/>
        <v>323077</v>
      </c>
      <c r="Z11" s="359">
        <f t="shared" si="3"/>
        <v>152971</v>
      </c>
      <c r="AA11" s="360">
        <f t="shared" si="3"/>
        <v>323077</v>
      </c>
      <c r="AB11" s="361">
        <f t="shared" si="3"/>
        <v>134914</v>
      </c>
      <c r="AC11" s="358">
        <f t="shared" si="3"/>
        <v>323077</v>
      </c>
      <c r="AD11" s="359">
        <f t="shared" si="3"/>
        <v>115720</v>
      </c>
      <c r="AE11" s="360">
        <f t="shared" ref="AE11:AR11" si="4">SUM(AE6,AE7,AE9,AE10)</f>
        <v>323077</v>
      </c>
      <c r="AF11" s="359">
        <f t="shared" si="4"/>
        <v>95316</v>
      </c>
      <c r="AG11" s="360">
        <f t="shared" si="4"/>
        <v>323077</v>
      </c>
      <c r="AH11" s="362">
        <f t="shared" si="4"/>
        <v>73626</v>
      </c>
      <c r="AI11" s="360">
        <f t="shared" si="4"/>
        <v>323077</v>
      </c>
      <c r="AJ11" s="362">
        <f t="shared" si="4"/>
        <v>50568</v>
      </c>
      <c r="AK11" s="360">
        <f t="shared" si="4"/>
        <v>323076</v>
      </c>
      <c r="AL11" s="362">
        <f t="shared" si="4"/>
        <v>26057</v>
      </c>
      <c r="AM11" s="360">
        <f t="shared" si="4"/>
        <v>0</v>
      </c>
      <c r="AN11" s="362">
        <f t="shared" si="4"/>
        <v>0</v>
      </c>
      <c r="AO11" s="360">
        <f t="shared" si="4"/>
        <v>0</v>
      </c>
      <c r="AP11" s="362">
        <f t="shared" si="4"/>
        <v>0</v>
      </c>
      <c r="AQ11" s="360">
        <f t="shared" si="4"/>
        <v>0</v>
      </c>
      <c r="AR11" s="362">
        <f t="shared" si="4"/>
        <v>0</v>
      </c>
      <c r="AS11" s="193"/>
      <c r="AT11" s="193"/>
      <c r="AU11" s="363" t="s">
        <v>271</v>
      </c>
      <c r="AV11" s="364">
        <f>SUM(AV6,AV7,AV9,AV10)</f>
        <v>0</v>
      </c>
      <c r="AW11" s="365">
        <f>SUM(AW6:AW10)</f>
        <v>0</v>
      </c>
      <c r="AX11" s="366">
        <f t="shared" ref="AX11:CI11" si="5">SUM(AX6:AX10)</f>
        <v>0</v>
      </c>
      <c r="AY11" s="367">
        <f t="shared" si="5"/>
        <v>0</v>
      </c>
      <c r="AZ11" s="365">
        <f t="shared" si="5"/>
        <v>592000</v>
      </c>
      <c r="BA11" s="366">
        <f t="shared" si="5"/>
        <v>2101974</v>
      </c>
      <c r="BB11" s="367">
        <f t="shared" si="5"/>
        <v>2693974</v>
      </c>
      <c r="BC11" s="365">
        <f t="shared" si="5"/>
        <v>4200000</v>
      </c>
      <c r="BD11" s="366">
        <f t="shared" si="5"/>
        <v>1813900</v>
      </c>
      <c r="BE11" s="367">
        <f t="shared" si="5"/>
        <v>6013900</v>
      </c>
      <c r="BF11" s="365">
        <f t="shared" si="5"/>
        <v>3876923</v>
      </c>
      <c r="BG11" s="366">
        <f t="shared" si="5"/>
        <v>1572958</v>
      </c>
      <c r="BH11" s="367">
        <f t="shared" si="5"/>
        <v>5449881</v>
      </c>
      <c r="BI11" s="365">
        <f t="shared" si="5"/>
        <v>3553846</v>
      </c>
      <c r="BJ11" s="366">
        <f t="shared" si="5"/>
        <v>1344535</v>
      </c>
      <c r="BK11" s="367">
        <f t="shared" si="5"/>
        <v>4898381</v>
      </c>
      <c r="BL11" s="365">
        <f t="shared" si="5"/>
        <v>3230769</v>
      </c>
      <c r="BM11" s="366">
        <f t="shared" si="5"/>
        <v>1129418</v>
      </c>
      <c r="BN11" s="367">
        <f t="shared" si="5"/>
        <v>4360187</v>
      </c>
      <c r="BO11" s="365">
        <f t="shared" si="5"/>
        <v>2907692</v>
      </c>
      <c r="BP11" s="366">
        <f t="shared" si="5"/>
        <v>928445</v>
      </c>
      <c r="BQ11" s="367">
        <f t="shared" si="5"/>
        <v>3836137</v>
      </c>
      <c r="BR11" s="365">
        <f t="shared" si="5"/>
        <v>2584615</v>
      </c>
      <c r="BS11" s="366">
        <f t="shared" si="5"/>
        <v>742506</v>
      </c>
      <c r="BT11" s="367">
        <f t="shared" si="5"/>
        <v>3327121</v>
      </c>
      <c r="BU11" s="365">
        <f t="shared" si="5"/>
        <v>2261538</v>
      </c>
      <c r="BV11" s="366">
        <f t="shared" si="5"/>
        <v>572547</v>
      </c>
      <c r="BW11" s="367">
        <f t="shared" si="5"/>
        <v>2834085</v>
      </c>
      <c r="BX11" s="365">
        <f t="shared" si="5"/>
        <v>1938461</v>
      </c>
      <c r="BY11" s="366">
        <f t="shared" si="5"/>
        <v>419576</v>
      </c>
      <c r="BZ11" s="367">
        <f t="shared" si="5"/>
        <v>2358037</v>
      </c>
      <c r="CA11" s="365">
        <f t="shared" si="5"/>
        <v>1615384</v>
      </c>
      <c r="CB11" s="366">
        <f t="shared" si="5"/>
        <v>284662</v>
      </c>
      <c r="CC11" s="367">
        <f t="shared" si="5"/>
        <v>1900046</v>
      </c>
      <c r="CD11" s="365">
        <f t="shared" si="5"/>
        <v>1292307</v>
      </c>
      <c r="CE11" s="366">
        <f t="shared" si="5"/>
        <v>168942</v>
      </c>
      <c r="CF11" s="367">
        <f t="shared" si="5"/>
        <v>1461249</v>
      </c>
      <c r="CG11" s="365">
        <f t="shared" si="5"/>
        <v>969230</v>
      </c>
      <c r="CH11" s="366">
        <f t="shared" si="5"/>
        <v>73626</v>
      </c>
      <c r="CI11" s="367">
        <f t="shared" si="5"/>
        <v>1042856</v>
      </c>
      <c r="CJ11" s="775">
        <f t="shared" ref="CJ11:CL11" si="6">SUM(CJ6:CJ10)</f>
        <v>646153</v>
      </c>
      <c r="CK11" s="366">
        <f t="shared" si="6"/>
        <v>73626</v>
      </c>
      <c r="CL11" s="367">
        <f t="shared" si="6"/>
        <v>719779</v>
      </c>
      <c r="CM11" s="775">
        <f t="shared" ref="CM11:CX11" si="7">SUM(CM6:CM10)</f>
        <v>323076</v>
      </c>
      <c r="CN11" s="366">
        <f t="shared" si="7"/>
        <v>73626</v>
      </c>
      <c r="CO11" s="367">
        <f t="shared" si="7"/>
        <v>396702</v>
      </c>
      <c r="CP11" s="775">
        <f t="shared" si="7"/>
        <v>0</v>
      </c>
      <c r="CQ11" s="366">
        <f t="shared" si="7"/>
        <v>73626</v>
      </c>
      <c r="CR11" s="367">
        <f t="shared" si="7"/>
        <v>73626</v>
      </c>
      <c r="CS11" s="775">
        <f t="shared" si="7"/>
        <v>0</v>
      </c>
      <c r="CT11" s="366">
        <f t="shared" si="7"/>
        <v>73626</v>
      </c>
      <c r="CU11" s="367">
        <f t="shared" si="7"/>
        <v>73626</v>
      </c>
      <c r="CV11" s="775">
        <f t="shared" si="7"/>
        <v>0</v>
      </c>
      <c r="CW11" s="366">
        <f t="shared" si="7"/>
        <v>73626</v>
      </c>
      <c r="CX11" s="367">
        <f t="shared" si="7"/>
        <v>73626</v>
      </c>
    </row>
    <row r="12" spans="1:102" ht="13.5">
      <c r="A12" s="368"/>
      <c r="B12" s="369" t="s">
        <v>272</v>
      </c>
      <c r="C12" s="1607">
        <f>SUM(C11,D11)</f>
        <v>0</v>
      </c>
      <c r="D12" s="1608"/>
      <c r="E12" s="1607">
        <f>SUM(E11,F11)</f>
        <v>6420867</v>
      </c>
      <c r="F12" s="1608"/>
      <c r="G12" s="1607">
        <f>SUM(G11,H11)</f>
        <v>0</v>
      </c>
      <c r="H12" s="1608"/>
      <c r="I12" s="1607">
        <f>SUM(I11,J11)</f>
        <v>42268</v>
      </c>
      <c r="J12" s="1608"/>
      <c r="K12" s="1605">
        <f>SUM(K11,L11)</f>
        <v>288074</v>
      </c>
      <c r="L12" s="1606"/>
      <c r="M12" s="1607">
        <f>SUM(M11,N11)</f>
        <v>564019</v>
      </c>
      <c r="N12" s="1608"/>
      <c r="O12" s="1605">
        <f>SUM(O11,P11)</f>
        <v>551500</v>
      </c>
      <c r="P12" s="1606"/>
      <c r="Q12" s="1607">
        <f>SUM(Q11,R11)</f>
        <v>538194</v>
      </c>
      <c r="R12" s="1608"/>
      <c r="S12" s="1605">
        <f>SUM(S11,T11)</f>
        <v>524050</v>
      </c>
      <c r="T12" s="1606"/>
      <c r="U12" s="1607">
        <f>SUM(U11,V11)</f>
        <v>509016</v>
      </c>
      <c r="V12" s="1608"/>
      <c r="W12" s="1605">
        <f>SUM(W11,X11)</f>
        <v>493036</v>
      </c>
      <c r="X12" s="1606"/>
      <c r="Y12" s="1607">
        <f>SUM(Y11,Z11)</f>
        <v>476048</v>
      </c>
      <c r="Z12" s="1608"/>
      <c r="AA12" s="1605">
        <f>SUM(AA11,AB11)</f>
        <v>457991</v>
      </c>
      <c r="AB12" s="1606"/>
      <c r="AC12" s="1607">
        <f>SUM(AC11,AD11)</f>
        <v>438797</v>
      </c>
      <c r="AD12" s="1608"/>
      <c r="AE12" s="1605">
        <f>SUM(AE11,AF11)</f>
        <v>418393</v>
      </c>
      <c r="AF12" s="1608"/>
      <c r="AG12" s="1605">
        <f>SUM(AG11,AH11)</f>
        <v>396703</v>
      </c>
      <c r="AH12" s="1609"/>
      <c r="AI12" s="1605">
        <f>SUM(AI11,AJ11)</f>
        <v>373645</v>
      </c>
      <c r="AJ12" s="1609"/>
      <c r="AK12" s="1605">
        <f>SUM(AK11,AL11)</f>
        <v>349133</v>
      </c>
      <c r="AL12" s="1609"/>
      <c r="AM12" s="1605">
        <f>SUM(AM11,AN11)</f>
        <v>0</v>
      </c>
      <c r="AN12" s="1609"/>
      <c r="AO12" s="1605">
        <f>SUM(AO11,AP11)</f>
        <v>0</v>
      </c>
      <c r="AP12" s="1609"/>
      <c r="AQ12" s="1605">
        <f>SUM(AQ11,AR11)</f>
        <v>0</v>
      </c>
      <c r="AR12" s="1609"/>
      <c r="AS12" s="193"/>
      <c r="AT12" s="193"/>
      <c r="AU12" s="370"/>
      <c r="AV12" s="370"/>
      <c r="AW12" s="1592"/>
      <c r="AX12" s="1593"/>
      <c r="AY12" s="1594"/>
      <c r="AZ12" s="1592"/>
      <c r="BA12" s="1593"/>
      <c r="BB12" s="1594"/>
      <c r="BC12" s="1592"/>
      <c r="BD12" s="1593"/>
      <c r="BE12" s="1594"/>
      <c r="BF12" s="1592"/>
      <c r="BG12" s="1593"/>
      <c r="BH12" s="1594"/>
      <c r="BI12" s="1592"/>
      <c r="BJ12" s="1593"/>
      <c r="BK12" s="1594"/>
      <c r="BL12" s="1592"/>
      <c r="BM12" s="1593"/>
      <c r="BN12" s="1594"/>
      <c r="BO12" s="1592"/>
      <c r="BP12" s="1593"/>
      <c r="BQ12" s="1594"/>
      <c r="BR12" s="1592"/>
      <c r="BS12" s="1593"/>
      <c r="BT12" s="1594"/>
      <c r="BU12" s="1592"/>
      <c r="BV12" s="1593"/>
      <c r="BW12" s="1594"/>
      <c r="BX12" s="1592"/>
      <c r="BY12" s="1593"/>
      <c r="BZ12" s="1594"/>
      <c r="CA12" s="1592"/>
      <c r="CB12" s="1593"/>
      <c r="CC12" s="1594"/>
      <c r="CD12" s="1592"/>
      <c r="CE12" s="1593"/>
      <c r="CF12" s="1594"/>
      <c r="CG12" s="1592"/>
      <c r="CH12" s="1593"/>
      <c r="CI12" s="1594"/>
      <c r="CJ12" s="1592"/>
      <c r="CK12" s="1593"/>
      <c r="CL12" s="1594"/>
      <c r="CM12" s="1592"/>
      <c r="CN12" s="1593"/>
      <c r="CO12" s="1594"/>
      <c r="CP12" s="1592"/>
      <c r="CQ12" s="1593"/>
      <c r="CR12" s="1594"/>
      <c r="CS12" s="1592"/>
      <c r="CT12" s="1593"/>
      <c r="CU12" s="1594"/>
      <c r="CV12" s="1592"/>
      <c r="CW12" s="1593"/>
      <c r="CX12" s="1594"/>
    </row>
    <row r="13" spans="1:102">
      <c r="A13" s="696" t="s">
        <v>273</v>
      </c>
      <c r="B13" s="371" t="s">
        <v>274</v>
      </c>
      <c r="C13" s="372" t="s">
        <v>267</v>
      </c>
      <c r="D13" s="373" t="s">
        <v>268</v>
      </c>
      <c r="E13" s="372" t="s">
        <v>267</v>
      </c>
      <c r="F13" s="373" t="s">
        <v>268</v>
      </c>
      <c r="G13" s="372" t="s">
        <v>267</v>
      </c>
      <c r="H13" s="373" t="s">
        <v>268</v>
      </c>
      <c r="I13" s="372" t="s">
        <v>267</v>
      </c>
      <c r="J13" s="373" t="s">
        <v>268</v>
      </c>
      <c r="K13" s="374" t="s">
        <v>267</v>
      </c>
      <c r="L13" s="371" t="s">
        <v>268</v>
      </c>
      <c r="M13" s="372" t="s">
        <v>267</v>
      </c>
      <c r="N13" s="373" t="s">
        <v>268</v>
      </c>
      <c r="O13" s="374" t="s">
        <v>267</v>
      </c>
      <c r="P13" s="371" t="s">
        <v>268</v>
      </c>
      <c r="Q13" s="372" t="s">
        <v>267</v>
      </c>
      <c r="R13" s="373" t="s">
        <v>268</v>
      </c>
      <c r="S13" s="374" t="s">
        <v>267</v>
      </c>
      <c r="T13" s="371" t="s">
        <v>268</v>
      </c>
      <c r="U13" s="372" t="s">
        <v>267</v>
      </c>
      <c r="V13" s="373" t="s">
        <v>268</v>
      </c>
      <c r="W13" s="374" t="s">
        <v>267</v>
      </c>
      <c r="X13" s="371" t="s">
        <v>268</v>
      </c>
      <c r="Y13" s="372" t="s">
        <v>267</v>
      </c>
      <c r="Z13" s="373" t="s">
        <v>268</v>
      </c>
      <c r="AA13" s="374" t="s">
        <v>267</v>
      </c>
      <c r="AB13" s="371" t="s">
        <v>268</v>
      </c>
      <c r="AC13" s="372" t="s">
        <v>267</v>
      </c>
      <c r="AD13" s="373" t="s">
        <v>268</v>
      </c>
      <c r="AE13" s="374" t="s">
        <v>267</v>
      </c>
      <c r="AF13" s="373" t="s">
        <v>268</v>
      </c>
      <c r="AG13" s="374" t="s">
        <v>267</v>
      </c>
      <c r="AH13" s="375" t="s">
        <v>268</v>
      </c>
      <c r="AI13" s="374" t="s">
        <v>267</v>
      </c>
      <c r="AJ13" s="375" t="s">
        <v>268</v>
      </c>
      <c r="AK13" s="374" t="s">
        <v>267</v>
      </c>
      <c r="AL13" s="375" t="s">
        <v>268</v>
      </c>
      <c r="AM13" s="374" t="s">
        <v>267</v>
      </c>
      <c r="AN13" s="375" t="s">
        <v>268</v>
      </c>
      <c r="AO13" s="374" t="s">
        <v>267</v>
      </c>
      <c r="AP13" s="375" t="s">
        <v>268</v>
      </c>
      <c r="AQ13" s="374" t="s">
        <v>267</v>
      </c>
      <c r="AR13" s="375" t="s">
        <v>268</v>
      </c>
      <c r="AS13" s="193"/>
      <c r="AT13" s="193"/>
      <c r="AU13" s="370" t="s">
        <v>273</v>
      </c>
      <c r="AV13" s="363" t="s">
        <v>274</v>
      </c>
      <c r="AW13" s="339" t="s">
        <v>267</v>
      </c>
      <c r="AX13" s="340" t="s">
        <v>268</v>
      </c>
      <c r="AY13" s="341" t="s">
        <v>269</v>
      </c>
      <c r="AZ13" s="339" t="s">
        <v>267</v>
      </c>
      <c r="BA13" s="340" t="s">
        <v>268</v>
      </c>
      <c r="BB13" s="341" t="s">
        <v>269</v>
      </c>
      <c r="BC13" s="339" t="s">
        <v>267</v>
      </c>
      <c r="BD13" s="340" t="s">
        <v>268</v>
      </c>
      <c r="BE13" s="341" t="s">
        <v>269</v>
      </c>
      <c r="BF13" s="339" t="s">
        <v>267</v>
      </c>
      <c r="BG13" s="340" t="s">
        <v>268</v>
      </c>
      <c r="BH13" s="341" t="s">
        <v>269</v>
      </c>
      <c r="BI13" s="339" t="s">
        <v>267</v>
      </c>
      <c r="BJ13" s="340" t="s">
        <v>268</v>
      </c>
      <c r="BK13" s="341" t="s">
        <v>269</v>
      </c>
      <c r="BL13" s="339" t="s">
        <v>267</v>
      </c>
      <c r="BM13" s="340" t="s">
        <v>268</v>
      </c>
      <c r="BN13" s="341" t="s">
        <v>269</v>
      </c>
      <c r="BO13" s="339" t="s">
        <v>267</v>
      </c>
      <c r="BP13" s="340" t="s">
        <v>268</v>
      </c>
      <c r="BQ13" s="341" t="s">
        <v>269</v>
      </c>
      <c r="BR13" s="339" t="s">
        <v>267</v>
      </c>
      <c r="BS13" s="340" t="s">
        <v>268</v>
      </c>
      <c r="BT13" s="341" t="s">
        <v>269</v>
      </c>
      <c r="BU13" s="339" t="s">
        <v>267</v>
      </c>
      <c r="BV13" s="340" t="s">
        <v>268</v>
      </c>
      <c r="BW13" s="341" t="s">
        <v>269</v>
      </c>
      <c r="BX13" s="339" t="s">
        <v>267</v>
      </c>
      <c r="BY13" s="340" t="s">
        <v>268</v>
      </c>
      <c r="BZ13" s="341" t="s">
        <v>269</v>
      </c>
      <c r="CA13" s="339" t="s">
        <v>267</v>
      </c>
      <c r="CB13" s="340" t="s">
        <v>268</v>
      </c>
      <c r="CC13" s="341" t="s">
        <v>269</v>
      </c>
      <c r="CD13" s="339" t="s">
        <v>267</v>
      </c>
      <c r="CE13" s="340" t="s">
        <v>268</v>
      </c>
      <c r="CF13" s="341" t="s">
        <v>269</v>
      </c>
      <c r="CG13" s="339" t="s">
        <v>267</v>
      </c>
      <c r="CH13" s="340" t="s">
        <v>268</v>
      </c>
      <c r="CI13" s="341" t="s">
        <v>269</v>
      </c>
      <c r="CJ13" s="339" t="s">
        <v>267</v>
      </c>
      <c r="CK13" s="340" t="s">
        <v>268</v>
      </c>
      <c r="CL13" s="341" t="s">
        <v>269</v>
      </c>
      <c r="CM13" s="339" t="s">
        <v>267</v>
      </c>
      <c r="CN13" s="340" t="s">
        <v>268</v>
      </c>
      <c r="CO13" s="341" t="s">
        <v>269</v>
      </c>
      <c r="CP13" s="339" t="s">
        <v>267</v>
      </c>
      <c r="CQ13" s="340" t="s">
        <v>268</v>
      </c>
      <c r="CR13" s="341" t="s">
        <v>269</v>
      </c>
      <c r="CS13" s="339" t="s">
        <v>267</v>
      </c>
      <c r="CT13" s="340" t="s">
        <v>268</v>
      </c>
      <c r="CU13" s="341" t="s">
        <v>269</v>
      </c>
      <c r="CV13" s="339" t="s">
        <v>267</v>
      </c>
      <c r="CW13" s="340" t="s">
        <v>268</v>
      </c>
      <c r="CX13" s="341" t="s">
        <v>269</v>
      </c>
    </row>
    <row r="14" spans="1:102">
      <c r="A14" s="376" t="str">
        <f>'HSZ do groszy'!A14</f>
        <v>WFOŚiGW 19/2004/76/OA/no/P</v>
      </c>
      <c r="B14" s="377">
        <f>ROUNDUP('HSZ do groszy'!B14,0)</f>
        <v>518029</v>
      </c>
      <c r="C14" s="378">
        <f>ROUNDUP('HSZ do groszy'!C14,0)</f>
        <v>57559</v>
      </c>
      <c r="D14" s="379">
        <f>ROUNDUP('HSZ do groszy'!D14,0)</f>
        <v>2863</v>
      </c>
      <c r="E14" s="378">
        <f t="shared" ref="E14:E24" si="8">G14+I14+K14+M14+O14+Q14+S14+U14+W14+Y14+AA14+AC14+AE14+AG14</f>
        <v>115116</v>
      </c>
      <c r="F14" s="379">
        <f t="shared" ref="F14:F24" si="9">H14+J14+L14+N14+P14+R14+T14+V14+X14+Z14+AB14+AD14+AF14+AH14</f>
        <v>1734</v>
      </c>
      <c r="G14" s="378">
        <f>ROUNDUP('HSZ do groszy'!G14,0)</f>
        <v>57559</v>
      </c>
      <c r="H14" s="379">
        <f>ROUNDUP('HSZ do groszy'!H14,0)</f>
        <v>1267</v>
      </c>
      <c r="I14" s="378">
        <f>ROUNDUP('HSZ do groszy'!I14,0)</f>
        <v>57557</v>
      </c>
      <c r="J14" s="379">
        <f>ROUNDUP('HSZ do groszy'!J14,0)</f>
        <v>467</v>
      </c>
      <c r="K14" s="380">
        <f>ROUNDUP('HSZ do groszy'!K14,0)</f>
        <v>0</v>
      </c>
      <c r="L14" s="381">
        <f>ROUNDUP('HSZ do groszy'!L14,0)</f>
        <v>0</v>
      </c>
      <c r="M14" s="378">
        <f>ROUNDUP('HSZ do groszy'!M14,0)</f>
        <v>0</v>
      </c>
      <c r="N14" s="379">
        <f>ROUNDUP('HSZ do groszy'!N14,0)</f>
        <v>0</v>
      </c>
      <c r="O14" s="380">
        <f>ROUNDUP('HSZ do groszy'!O14,0)</f>
        <v>0</v>
      </c>
      <c r="P14" s="381">
        <f>ROUNDUP('HSZ do groszy'!P14,0)</f>
        <v>0</v>
      </c>
      <c r="Q14" s="378">
        <f>ROUNDUP('HSZ do groszy'!Q14,0)</f>
        <v>0</v>
      </c>
      <c r="R14" s="379">
        <f>ROUNDUP('HSZ do groszy'!R14,0)</f>
        <v>0</v>
      </c>
      <c r="S14" s="380">
        <f>ROUNDUP('HSZ do groszy'!S14,0)</f>
        <v>0</v>
      </c>
      <c r="T14" s="381">
        <f>ROUNDUP('HSZ do groszy'!T14,0)</f>
        <v>0</v>
      </c>
      <c r="U14" s="378">
        <f>ROUNDUP('HSZ do groszy'!U14,0)</f>
        <v>0</v>
      </c>
      <c r="V14" s="379">
        <f>ROUNDUP('HSZ do groszy'!V14,0)</f>
        <v>0</v>
      </c>
      <c r="W14" s="380">
        <f>ROUNDUP('HSZ do groszy'!W14,0)</f>
        <v>0</v>
      </c>
      <c r="X14" s="381">
        <f>ROUNDUP('HSZ do groszy'!X14,0)</f>
        <v>0</v>
      </c>
      <c r="Y14" s="378">
        <f>ROUNDUP('HSZ do groszy'!Y14,0)</f>
        <v>0</v>
      </c>
      <c r="Z14" s="379">
        <f>ROUNDUP('HSZ do groszy'!Z14,0)</f>
        <v>0</v>
      </c>
      <c r="AA14" s="380">
        <f>ROUNDUP('HSZ do groszy'!AA14,0)</f>
        <v>0</v>
      </c>
      <c r="AB14" s="381">
        <f>ROUNDUP('HSZ do groszy'!AB14,0)</f>
        <v>0</v>
      </c>
      <c r="AC14" s="378">
        <f>ROUNDUP('HSZ do groszy'!AC14,0)</f>
        <v>0</v>
      </c>
      <c r="AD14" s="379">
        <f>ROUNDUP('HSZ do groszy'!AD14,0)</f>
        <v>0</v>
      </c>
      <c r="AE14" s="380">
        <f>ROUNDUP('HSZ do groszy'!AE14,0)</f>
        <v>0</v>
      </c>
      <c r="AF14" s="379">
        <f>ROUNDUP('HSZ do groszy'!AF14,0)</f>
        <v>0</v>
      </c>
      <c r="AG14" s="380">
        <f>ROUNDUP('HSZ do groszy'!AG14,0)</f>
        <v>0</v>
      </c>
      <c r="AH14" s="382">
        <f>ROUNDUP('HSZ do groszy'!AH14,0)</f>
        <v>0</v>
      </c>
      <c r="AI14" s="380">
        <f>ROUNDUP('HSZ do groszy'!AI14,0)</f>
        <v>0</v>
      </c>
      <c r="AJ14" s="382">
        <f>ROUNDUP('HSZ do groszy'!AJ14,0)</f>
        <v>0</v>
      </c>
      <c r="AK14" s="380">
        <f>ROUNDUP('HSZ do groszy'!AK14,0)</f>
        <v>0</v>
      </c>
      <c r="AL14" s="382">
        <f>ROUNDUP('HSZ do groszy'!AL14,0)</f>
        <v>0</v>
      </c>
      <c r="AM14" s="380">
        <f>ROUNDUP('HSZ do groszy'!AM14,0)</f>
        <v>0</v>
      </c>
      <c r="AN14" s="382">
        <f>ROUNDUP('HSZ do groszy'!AN14,0)</f>
        <v>0</v>
      </c>
      <c r="AO14" s="380">
        <f>ROUNDUP('HSZ do groszy'!AO14,0)</f>
        <v>0</v>
      </c>
      <c r="AP14" s="382">
        <f>ROUNDUP('HSZ do groszy'!AP14,0)</f>
        <v>0</v>
      </c>
      <c r="AQ14" s="380">
        <f>ROUNDUP('HSZ do groszy'!AQ14,0)</f>
        <v>0</v>
      </c>
      <c r="AR14" s="382">
        <f>ROUNDUP('HSZ do groszy'!AR14,0)</f>
        <v>0</v>
      </c>
      <c r="AS14" s="193"/>
      <c r="AT14" s="193"/>
      <c r="AU14" s="383" t="str">
        <f t="shared" ref="AU14:AV26" si="10">A14</f>
        <v>WFOŚiGW 19/2004/76/OA/no/P</v>
      </c>
      <c r="AV14" s="384">
        <f t="shared" si="10"/>
        <v>518029</v>
      </c>
      <c r="AW14" s="385">
        <f t="shared" ref="AW14:AW26" si="11">SUM($I14,$K14,$M14,$O14,$Q14,$S14,$U14,$W14,$Y14,$AA14,$AC14,$AE14,$AG14)</f>
        <v>57557</v>
      </c>
      <c r="AX14" s="386">
        <f t="shared" ref="AX14:AX26" si="12">SUM($J14,$L14,$N14,$P14,$R14,$T14,$V14,$X14,$Z14,$AB14,$AD14,$AF14,$AH14)</f>
        <v>467</v>
      </c>
      <c r="AY14" s="387">
        <f t="shared" ref="AY14:AY26" si="13">SUM(AW14,AX14)</f>
        <v>58024</v>
      </c>
      <c r="AZ14" s="385">
        <f t="shared" ref="AZ14:AZ26" si="14">SUM($K14,$M14,$O14,$Q14,$S14,$U14,$W14,$Y14,$AA14,$AC14,$AE14,$AG14)</f>
        <v>0</v>
      </c>
      <c r="BA14" s="386">
        <f t="shared" ref="BA14:BA26" si="15">SUM($L14,$N14,$P14,$R14,$T14,$V14,$X14,$Z14,$AB14,$AD14,$AF14,$AH14)</f>
        <v>0</v>
      </c>
      <c r="BB14" s="387">
        <f t="shared" ref="BB14:BB26" si="16">SUM(AZ14,BA14)</f>
        <v>0</v>
      </c>
      <c r="BC14" s="385">
        <f t="shared" ref="BC14:BC26" si="17">SUM($M14,$O14,$Q14,$S14,$U14,$W14,$Y14,$AA14,$AC14,$AE14,$AG14)</f>
        <v>0</v>
      </c>
      <c r="BD14" s="386">
        <f t="shared" ref="BD14:BD26" si="18">SUM($N14,$P14,$R14,$T14,$V14,$X14,$Z14,$AB14,$AD14,$AF14,$AH14)</f>
        <v>0</v>
      </c>
      <c r="BE14" s="387">
        <f t="shared" ref="BE14:BE26" si="19">SUM(BC14,BD14)</f>
        <v>0</v>
      </c>
      <c r="BF14" s="385">
        <f t="shared" ref="BF14:BF28" si="20">SUM($O14,$Q14,$S14,$U14,$W14,$Y14,$AA14,$AC14,$AE14,$AG14)</f>
        <v>0</v>
      </c>
      <c r="BG14" s="386">
        <f t="shared" ref="BG14:BG28" si="21">SUM($P14,$R14,$T14,$V14,$X14,$Z14,$AB14,$AD14,$AF14,$AH14)</f>
        <v>0</v>
      </c>
      <c r="BH14" s="387">
        <f t="shared" ref="BH14:BH26" si="22">SUM(BF14,BG14)</f>
        <v>0</v>
      </c>
      <c r="BI14" s="385">
        <f t="shared" ref="BI14:BI28" si="23">SUM($Q14,$S14,$U14,$W14,$Y14,$AA14,$AC14,$AE14,$AG14)</f>
        <v>0</v>
      </c>
      <c r="BJ14" s="386">
        <f t="shared" ref="BJ14:BJ28" si="24">SUM($R14,$T14,$V14,$X14,$Z14,$AB14,$AD14,$AF14,$AH14)</f>
        <v>0</v>
      </c>
      <c r="BK14" s="387">
        <f t="shared" ref="BK14:BK26" si="25">SUM(BI14,BJ14)</f>
        <v>0</v>
      </c>
      <c r="BL14" s="385">
        <f t="shared" ref="BL14:BL28" si="26">SUM($S14,$U14,$W14,$Y14,$AA14,$AC14,$AE14,$AG14)</f>
        <v>0</v>
      </c>
      <c r="BM14" s="386">
        <f t="shared" ref="BM14:BM28" si="27">SUM($T14,$V14,$X14,$Z14,$AB14,$AD14,$AF14,$AH14)</f>
        <v>0</v>
      </c>
      <c r="BN14" s="387">
        <f t="shared" ref="BN14:BN28" si="28">SUM(BL14,BM14)</f>
        <v>0</v>
      </c>
      <c r="BO14" s="385">
        <f t="shared" ref="BO14:BO28" si="29">SUM($U14,$W14,$Y14,$AA14,$AC14,$AE14,$AG14)</f>
        <v>0</v>
      </c>
      <c r="BP14" s="386">
        <f t="shared" ref="BP14:BP28" si="30">SUM($V14,$X14,$Z14,$AB14,$AD14,$AF14,$AH14)</f>
        <v>0</v>
      </c>
      <c r="BQ14" s="387">
        <f t="shared" ref="BQ14:BQ28" si="31">SUM(BO14,BP14)</f>
        <v>0</v>
      </c>
      <c r="BR14" s="385">
        <f t="shared" ref="BR14:BR28" si="32">SUM($W14,$Y14,$AA14,$AC14,$AE14,$AG14)</f>
        <v>0</v>
      </c>
      <c r="BS14" s="386">
        <f t="shared" ref="BS14:BS28" si="33">SUM($X14,$Z14,$AB14,$AD14,$AF14,$AH14)</f>
        <v>0</v>
      </c>
      <c r="BT14" s="387">
        <f t="shared" ref="BT14:BT28" si="34">SUM(BR14,BS14)</f>
        <v>0</v>
      </c>
      <c r="BU14" s="385">
        <f t="shared" ref="BU14:BU28" si="35">SUM($Y14,$AA14,$AC14,$AE14,$AG14)</f>
        <v>0</v>
      </c>
      <c r="BV14" s="386">
        <f t="shared" ref="BV14:BV28" si="36">SUM($Z14,$AB14,$AD14,$AF14,$AH14)</f>
        <v>0</v>
      </c>
      <c r="BW14" s="387">
        <f t="shared" ref="BW14:BW28" si="37">SUM(BU14,BV14)</f>
        <v>0</v>
      </c>
      <c r="BX14" s="385">
        <f t="shared" ref="BX14:BX28" si="38">SUM($AA14,$AC14,$AE14,$AG14)</f>
        <v>0</v>
      </c>
      <c r="BY14" s="386">
        <f t="shared" ref="BY14:BY28" si="39">SUM($AB14,$AD14,$AF14,$AH14)</f>
        <v>0</v>
      </c>
      <c r="BZ14" s="387">
        <f t="shared" ref="BZ14:BZ28" si="40">SUM(BX14,BY14)</f>
        <v>0</v>
      </c>
      <c r="CA14" s="385">
        <f t="shared" ref="CA14:CA28" si="41">SUM($AC14,$AE14,$AG14)</f>
        <v>0</v>
      </c>
      <c r="CB14" s="386">
        <f t="shared" ref="CB14:CB28" si="42">SUM($AD14,$AF14,$AH14)</f>
        <v>0</v>
      </c>
      <c r="CC14" s="387">
        <f t="shared" ref="CC14:CC28" si="43">SUM(CA14,CB14)</f>
        <v>0</v>
      </c>
      <c r="CD14" s="385">
        <f t="shared" ref="CD14:CD28" si="44">SUM($AE14,$AG14)</f>
        <v>0</v>
      </c>
      <c r="CE14" s="386">
        <f t="shared" ref="CE14:CE28" si="45">SUM($AF14,$AH14)</f>
        <v>0</v>
      </c>
      <c r="CF14" s="387">
        <f t="shared" ref="CF14:CF28" si="46">SUM(CD14,CE14)</f>
        <v>0</v>
      </c>
      <c r="CG14" s="385">
        <f t="shared" ref="CG14:CG28" si="47">SUM($AG14)</f>
        <v>0</v>
      </c>
      <c r="CH14" s="386">
        <f t="shared" ref="CH14:CH28" si="48">SUM($AH14)</f>
        <v>0</v>
      </c>
      <c r="CI14" s="387">
        <f t="shared" ref="CI14:CI28" si="49">SUM(CG14,CH14)</f>
        <v>0</v>
      </c>
      <c r="CJ14" s="385">
        <f t="shared" ref="CJ14:CJ26" si="50">SUM($AG14)</f>
        <v>0</v>
      </c>
      <c r="CK14" s="386">
        <f t="shared" ref="CK14:CK26" si="51">SUM($AH14)</f>
        <v>0</v>
      </c>
      <c r="CL14" s="387">
        <f t="shared" ref="CL14:CL28" si="52">SUM(CJ14,CK14)</f>
        <v>0</v>
      </c>
      <c r="CM14" s="385">
        <f t="shared" ref="CM14:CM26" si="53">SUM($AG14)</f>
        <v>0</v>
      </c>
      <c r="CN14" s="386">
        <f t="shared" ref="CN14:CN26" si="54">SUM($AH14)</f>
        <v>0</v>
      </c>
      <c r="CO14" s="387">
        <f t="shared" ref="CO14:CO28" si="55">SUM(CM14,CN14)</f>
        <v>0</v>
      </c>
      <c r="CP14" s="385">
        <f t="shared" ref="CP14:CP26" si="56">SUM($AG14)</f>
        <v>0</v>
      </c>
      <c r="CQ14" s="386">
        <f t="shared" ref="CQ14:CQ26" si="57">SUM($AH14)</f>
        <v>0</v>
      </c>
      <c r="CR14" s="387">
        <f t="shared" ref="CR14:CR28" si="58">SUM(CP14,CQ14)</f>
        <v>0</v>
      </c>
      <c r="CS14" s="385">
        <f t="shared" ref="CS14:CS26" si="59">SUM($AG14)</f>
        <v>0</v>
      </c>
      <c r="CT14" s="386">
        <f t="shared" ref="CT14:CT26" si="60">SUM($AH14)</f>
        <v>0</v>
      </c>
      <c r="CU14" s="387">
        <f t="shared" ref="CU14:CU28" si="61">SUM(CS14,CT14)</f>
        <v>0</v>
      </c>
      <c r="CV14" s="385">
        <f t="shared" ref="CV14:CV26" si="62">SUM($AG14)</f>
        <v>0</v>
      </c>
      <c r="CW14" s="386">
        <f t="shared" ref="CW14:CW26" si="63">SUM($AH14)</f>
        <v>0</v>
      </c>
      <c r="CX14" s="387">
        <f t="shared" ref="CX14:CX28" si="64">SUM(CV14,CW14)</f>
        <v>0</v>
      </c>
    </row>
    <row r="15" spans="1:102">
      <c r="A15" s="376" t="str">
        <f>'HSZ do groszy'!A15</f>
        <v>WFOŚiGW 37/2005/76/OA/po/P</v>
      </c>
      <c r="B15" s="377">
        <f>ROUNDUP('HSZ do groszy'!B15,0)</f>
        <v>1498996</v>
      </c>
      <c r="C15" s="378">
        <f>ROUNDUP('HSZ do groszy'!C15,0)</f>
        <v>171911</v>
      </c>
      <c r="D15" s="379">
        <f>ROUNDUP('HSZ do groszy'!D15,0)</f>
        <v>33339</v>
      </c>
      <c r="E15" s="378">
        <f t="shared" si="8"/>
        <v>799416</v>
      </c>
      <c r="F15" s="379">
        <f t="shared" si="9"/>
        <v>50293</v>
      </c>
      <c r="G15" s="378">
        <f>ROUNDUP('HSZ do groszy'!G15,0)</f>
        <v>199880</v>
      </c>
      <c r="H15" s="379">
        <f>ROUNDUP('HSZ do groszy'!H15,0)</f>
        <v>21568</v>
      </c>
      <c r="I15" s="378">
        <f>ROUNDUP('HSZ do groszy'!I15,0)</f>
        <v>199880</v>
      </c>
      <c r="J15" s="379">
        <f>ROUNDUP('HSZ do groszy'!J15,0)</f>
        <v>15571</v>
      </c>
      <c r="K15" s="380">
        <f>ROUNDUP('HSZ do groszy'!K15,0)</f>
        <v>199880</v>
      </c>
      <c r="L15" s="381">
        <f>ROUNDUP('HSZ do groszy'!L15,0)</f>
        <v>9575</v>
      </c>
      <c r="M15" s="378">
        <f>ROUNDUP('HSZ do groszy'!M15,0)</f>
        <v>199776</v>
      </c>
      <c r="N15" s="379">
        <f>ROUNDUP('HSZ do groszy'!N15,0)</f>
        <v>3579</v>
      </c>
      <c r="O15" s="380">
        <f>ROUNDUP('HSZ do groszy'!O15,0)</f>
        <v>0</v>
      </c>
      <c r="P15" s="381">
        <f>ROUNDUP('HSZ do groszy'!P15,0)</f>
        <v>0</v>
      </c>
      <c r="Q15" s="378">
        <f>ROUNDUP('HSZ do groszy'!Q15,0)</f>
        <v>0</v>
      </c>
      <c r="R15" s="379">
        <f>ROUNDUP('HSZ do groszy'!R15,0)</f>
        <v>0</v>
      </c>
      <c r="S15" s="380">
        <f>ROUNDUP('HSZ do groszy'!S15,0)</f>
        <v>0</v>
      </c>
      <c r="T15" s="381">
        <f>ROUNDUP('HSZ do groszy'!T15,0)</f>
        <v>0</v>
      </c>
      <c r="U15" s="378">
        <f>ROUNDUP('HSZ do groszy'!U15,0)</f>
        <v>0</v>
      </c>
      <c r="V15" s="379">
        <f>ROUNDUP('HSZ do groszy'!V15,0)</f>
        <v>0</v>
      </c>
      <c r="W15" s="380">
        <f>ROUNDUP('HSZ do groszy'!W15,0)</f>
        <v>0</v>
      </c>
      <c r="X15" s="381">
        <f>ROUNDUP('HSZ do groszy'!X15,0)</f>
        <v>0</v>
      </c>
      <c r="Y15" s="378">
        <f>ROUNDUP('HSZ do groszy'!Y15,0)</f>
        <v>0</v>
      </c>
      <c r="Z15" s="379">
        <f>ROUNDUP('HSZ do groszy'!Z15,0)</f>
        <v>0</v>
      </c>
      <c r="AA15" s="380">
        <f>ROUNDUP('HSZ do groszy'!AA15,0)</f>
        <v>0</v>
      </c>
      <c r="AB15" s="381">
        <f>ROUNDUP('HSZ do groszy'!AB15,0)</f>
        <v>0</v>
      </c>
      <c r="AC15" s="378">
        <f>ROUNDUP('HSZ do groszy'!AC15,0)</f>
        <v>0</v>
      </c>
      <c r="AD15" s="379">
        <f>ROUNDUP('HSZ do groszy'!AD15,0)</f>
        <v>0</v>
      </c>
      <c r="AE15" s="380">
        <f>ROUNDUP('HSZ do groszy'!AE15,0)</f>
        <v>0</v>
      </c>
      <c r="AF15" s="379">
        <f>ROUNDUP('HSZ do groszy'!AF15,0)</f>
        <v>0</v>
      </c>
      <c r="AG15" s="380">
        <f>ROUNDUP('HSZ do groszy'!AG15,0)</f>
        <v>0</v>
      </c>
      <c r="AH15" s="382">
        <f>ROUNDUP('HSZ do groszy'!AH15,0)</f>
        <v>0</v>
      </c>
      <c r="AI15" s="380">
        <f>ROUNDUP('HSZ do groszy'!AI15,0)</f>
        <v>0</v>
      </c>
      <c r="AJ15" s="382">
        <f>ROUNDUP('HSZ do groszy'!AJ15,0)</f>
        <v>0</v>
      </c>
      <c r="AK15" s="380">
        <f>ROUNDUP('HSZ do groszy'!AK15,0)</f>
        <v>0</v>
      </c>
      <c r="AL15" s="382">
        <f>ROUNDUP('HSZ do groszy'!AL15,0)</f>
        <v>0</v>
      </c>
      <c r="AM15" s="380">
        <f>ROUNDUP('HSZ do groszy'!AM15,0)</f>
        <v>0</v>
      </c>
      <c r="AN15" s="382">
        <f>ROUNDUP('HSZ do groszy'!AN15,0)</f>
        <v>0</v>
      </c>
      <c r="AO15" s="380">
        <f>ROUNDUP('HSZ do groszy'!AO15,0)</f>
        <v>0</v>
      </c>
      <c r="AP15" s="382">
        <f>ROUNDUP('HSZ do groszy'!AP15,0)</f>
        <v>0</v>
      </c>
      <c r="AQ15" s="380">
        <f>ROUNDUP('HSZ do groszy'!AQ15,0)</f>
        <v>0</v>
      </c>
      <c r="AR15" s="382">
        <f>ROUNDUP('HSZ do groszy'!AR15,0)</f>
        <v>0</v>
      </c>
      <c r="AS15" s="193"/>
      <c r="AT15" s="193"/>
      <c r="AU15" s="383" t="str">
        <f t="shared" si="10"/>
        <v>WFOŚiGW 37/2005/76/OA/po/P</v>
      </c>
      <c r="AV15" s="384">
        <f t="shared" si="10"/>
        <v>1498996</v>
      </c>
      <c r="AW15" s="385">
        <f t="shared" si="11"/>
        <v>599536</v>
      </c>
      <c r="AX15" s="386">
        <f t="shared" si="12"/>
        <v>28725</v>
      </c>
      <c r="AY15" s="387">
        <f t="shared" si="13"/>
        <v>628261</v>
      </c>
      <c r="AZ15" s="385">
        <f t="shared" si="14"/>
        <v>399656</v>
      </c>
      <c r="BA15" s="386">
        <f t="shared" si="15"/>
        <v>13154</v>
      </c>
      <c r="BB15" s="387">
        <f t="shared" si="16"/>
        <v>412810</v>
      </c>
      <c r="BC15" s="385">
        <f t="shared" si="17"/>
        <v>199776</v>
      </c>
      <c r="BD15" s="386">
        <f t="shared" si="18"/>
        <v>3579</v>
      </c>
      <c r="BE15" s="387">
        <f t="shared" si="19"/>
        <v>203355</v>
      </c>
      <c r="BF15" s="385">
        <f t="shared" si="20"/>
        <v>0</v>
      </c>
      <c r="BG15" s="386">
        <f t="shared" si="21"/>
        <v>0</v>
      </c>
      <c r="BH15" s="387">
        <f t="shared" si="22"/>
        <v>0</v>
      </c>
      <c r="BI15" s="385">
        <f t="shared" si="23"/>
        <v>0</v>
      </c>
      <c r="BJ15" s="386">
        <f t="shared" si="24"/>
        <v>0</v>
      </c>
      <c r="BK15" s="387">
        <f t="shared" si="25"/>
        <v>0</v>
      </c>
      <c r="BL15" s="385">
        <f t="shared" si="26"/>
        <v>0</v>
      </c>
      <c r="BM15" s="386">
        <f t="shared" si="27"/>
        <v>0</v>
      </c>
      <c r="BN15" s="387">
        <f t="shared" si="28"/>
        <v>0</v>
      </c>
      <c r="BO15" s="385">
        <f t="shared" si="29"/>
        <v>0</v>
      </c>
      <c r="BP15" s="386">
        <f t="shared" si="30"/>
        <v>0</v>
      </c>
      <c r="BQ15" s="387">
        <f t="shared" si="31"/>
        <v>0</v>
      </c>
      <c r="BR15" s="385">
        <f t="shared" si="32"/>
        <v>0</v>
      </c>
      <c r="BS15" s="386">
        <f t="shared" si="33"/>
        <v>0</v>
      </c>
      <c r="BT15" s="387">
        <f t="shared" si="34"/>
        <v>0</v>
      </c>
      <c r="BU15" s="385">
        <f t="shared" si="35"/>
        <v>0</v>
      </c>
      <c r="BV15" s="386">
        <f t="shared" si="36"/>
        <v>0</v>
      </c>
      <c r="BW15" s="387">
        <f t="shared" si="37"/>
        <v>0</v>
      </c>
      <c r="BX15" s="385">
        <f t="shared" si="38"/>
        <v>0</v>
      </c>
      <c r="BY15" s="386">
        <f t="shared" si="39"/>
        <v>0</v>
      </c>
      <c r="BZ15" s="387">
        <f t="shared" si="40"/>
        <v>0</v>
      </c>
      <c r="CA15" s="385">
        <f t="shared" si="41"/>
        <v>0</v>
      </c>
      <c r="CB15" s="386">
        <f t="shared" si="42"/>
        <v>0</v>
      </c>
      <c r="CC15" s="387">
        <f t="shared" si="43"/>
        <v>0</v>
      </c>
      <c r="CD15" s="385">
        <f t="shared" si="44"/>
        <v>0</v>
      </c>
      <c r="CE15" s="386">
        <f t="shared" si="45"/>
        <v>0</v>
      </c>
      <c r="CF15" s="387">
        <f t="shared" si="46"/>
        <v>0</v>
      </c>
      <c r="CG15" s="385">
        <f t="shared" si="47"/>
        <v>0</v>
      </c>
      <c r="CH15" s="386">
        <f t="shared" si="48"/>
        <v>0</v>
      </c>
      <c r="CI15" s="387">
        <f t="shared" si="49"/>
        <v>0</v>
      </c>
      <c r="CJ15" s="385">
        <f t="shared" si="50"/>
        <v>0</v>
      </c>
      <c r="CK15" s="386">
        <f t="shared" si="51"/>
        <v>0</v>
      </c>
      <c r="CL15" s="387">
        <f t="shared" si="52"/>
        <v>0</v>
      </c>
      <c r="CM15" s="385">
        <f t="shared" si="53"/>
        <v>0</v>
      </c>
      <c r="CN15" s="386">
        <f t="shared" si="54"/>
        <v>0</v>
      </c>
      <c r="CO15" s="387">
        <f t="shared" si="55"/>
        <v>0</v>
      </c>
      <c r="CP15" s="385">
        <f t="shared" si="56"/>
        <v>0</v>
      </c>
      <c r="CQ15" s="386">
        <f t="shared" si="57"/>
        <v>0</v>
      </c>
      <c r="CR15" s="387">
        <f t="shared" si="58"/>
        <v>0</v>
      </c>
      <c r="CS15" s="385">
        <f t="shared" si="59"/>
        <v>0</v>
      </c>
      <c r="CT15" s="386">
        <f t="shared" si="60"/>
        <v>0</v>
      </c>
      <c r="CU15" s="387">
        <f t="shared" si="61"/>
        <v>0</v>
      </c>
      <c r="CV15" s="385">
        <f t="shared" si="62"/>
        <v>0</v>
      </c>
      <c r="CW15" s="386">
        <f t="shared" si="63"/>
        <v>0</v>
      </c>
      <c r="CX15" s="387">
        <f t="shared" si="64"/>
        <v>0</v>
      </c>
    </row>
    <row r="16" spans="1:102">
      <c r="A16" s="376" t="str">
        <f>'HSZ do groszy'!A16</f>
        <v>WFOŚiGW 52/2008/76/OZ/po/P</v>
      </c>
      <c r="B16" s="377">
        <f>ROUNDUP('HSZ do groszy'!B16,0)</f>
        <v>138349</v>
      </c>
      <c r="C16" s="378">
        <f>ROUNDUP('HSZ do groszy'!C16,0)</f>
        <v>15372</v>
      </c>
      <c r="D16" s="379">
        <f>ROUNDUP('HSZ do groszy'!D16,0)</f>
        <v>3861</v>
      </c>
      <c r="E16" s="378">
        <f t="shared" si="8"/>
        <v>103761</v>
      </c>
      <c r="F16" s="379">
        <f t="shared" si="9"/>
        <v>10898</v>
      </c>
      <c r="G16" s="378">
        <f>ROUNDUP('HSZ do groszy'!G16,0)</f>
        <v>15372</v>
      </c>
      <c r="H16" s="379">
        <f>ROUNDUP('HSZ do groszy'!H16,0)</f>
        <v>2940</v>
      </c>
      <c r="I16" s="378">
        <f>ROUNDUP('HSZ do groszy'!I16,0)</f>
        <v>15372</v>
      </c>
      <c r="J16" s="379">
        <f>ROUNDUP('HSZ do groszy'!J16,0)</f>
        <v>2479</v>
      </c>
      <c r="K16" s="380">
        <f>ROUNDUP('HSZ do groszy'!K16,0)</f>
        <v>15372</v>
      </c>
      <c r="L16" s="381">
        <f>ROUNDUP('HSZ do groszy'!L16,0)</f>
        <v>2018</v>
      </c>
      <c r="M16" s="378">
        <f>ROUNDUP('HSZ do groszy'!M16,0)</f>
        <v>15372</v>
      </c>
      <c r="N16" s="379">
        <f>ROUNDUP('HSZ do groszy'!N16,0)</f>
        <v>1557</v>
      </c>
      <c r="O16" s="380">
        <f>ROUNDUP('HSZ do groszy'!O16,0)</f>
        <v>15372</v>
      </c>
      <c r="P16" s="381">
        <f>ROUNDUP('HSZ do groszy'!P16,0)</f>
        <v>1096</v>
      </c>
      <c r="Q16" s="378">
        <f>ROUNDUP('HSZ do groszy'!Q16,0)</f>
        <v>15372</v>
      </c>
      <c r="R16" s="379">
        <f>ROUNDUP('HSZ do groszy'!R16,0)</f>
        <v>635</v>
      </c>
      <c r="S16" s="380">
        <f>ROUNDUP('HSZ do groszy'!S16,0)</f>
        <v>11529</v>
      </c>
      <c r="T16" s="381">
        <f>ROUNDUP('HSZ do groszy'!T16,0)</f>
        <v>173</v>
      </c>
      <c r="U16" s="378">
        <f>ROUNDUP('HSZ do groszy'!U16,0)</f>
        <v>0</v>
      </c>
      <c r="V16" s="379">
        <f>ROUNDUP('HSZ do groszy'!V16,0)</f>
        <v>0</v>
      </c>
      <c r="W16" s="380">
        <f>ROUNDUP('HSZ do groszy'!W16,0)</f>
        <v>0</v>
      </c>
      <c r="X16" s="381">
        <f>ROUNDUP('HSZ do groszy'!X16,0)</f>
        <v>0</v>
      </c>
      <c r="Y16" s="378">
        <f>ROUNDUP('HSZ do groszy'!Y16,0)</f>
        <v>0</v>
      </c>
      <c r="Z16" s="379">
        <f>ROUNDUP('HSZ do groszy'!Z16,0)</f>
        <v>0</v>
      </c>
      <c r="AA16" s="380">
        <f>ROUNDUP('HSZ do groszy'!AA16,0)</f>
        <v>0</v>
      </c>
      <c r="AB16" s="381">
        <f>ROUNDUP('HSZ do groszy'!AB16,0)</f>
        <v>0</v>
      </c>
      <c r="AC16" s="378">
        <f>ROUNDUP('HSZ do groszy'!AC16,0)</f>
        <v>0</v>
      </c>
      <c r="AD16" s="379">
        <f>ROUNDUP('HSZ do groszy'!AD16,0)</f>
        <v>0</v>
      </c>
      <c r="AE16" s="380">
        <f>ROUNDUP('HSZ do groszy'!AE16,0)</f>
        <v>0</v>
      </c>
      <c r="AF16" s="379">
        <f>ROUNDUP('HSZ do groszy'!AF16,0)</f>
        <v>0</v>
      </c>
      <c r="AG16" s="380">
        <f>ROUNDUP('HSZ do groszy'!AG16,0)</f>
        <v>0</v>
      </c>
      <c r="AH16" s="382">
        <f>ROUNDUP('HSZ do groszy'!AH16,0)</f>
        <v>0</v>
      </c>
      <c r="AI16" s="380">
        <f>ROUNDUP('HSZ do groszy'!AI16,0)</f>
        <v>0</v>
      </c>
      <c r="AJ16" s="382">
        <f>ROUNDUP('HSZ do groszy'!AJ16,0)</f>
        <v>0</v>
      </c>
      <c r="AK16" s="380">
        <f>ROUNDUP('HSZ do groszy'!AK16,0)</f>
        <v>0</v>
      </c>
      <c r="AL16" s="382">
        <f>ROUNDUP('HSZ do groszy'!AL16,0)</f>
        <v>0</v>
      </c>
      <c r="AM16" s="380">
        <f>ROUNDUP('HSZ do groszy'!AM16,0)</f>
        <v>0</v>
      </c>
      <c r="AN16" s="382">
        <f>ROUNDUP('HSZ do groszy'!AN16,0)</f>
        <v>0</v>
      </c>
      <c r="AO16" s="380">
        <f>ROUNDUP('HSZ do groszy'!AO16,0)</f>
        <v>0</v>
      </c>
      <c r="AP16" s="382">
        <f>ROUNDUP('HSZ do groszy'!AP16,0)</f>
        <v>0</v>
      </c>
      <c r="AQ16" s="380">
        <f>ROUNDUP('HSZ do groszy'!AQ16,0)</f>
        <v>0</v>
      </c>
      <c r="AR16" s="382">
        <f>ROUNDUP('HSZ do groszy'!AR16,0)</f>
        <v>0</v>
      </c>
      <c r="AS16" s="193"/>
      <c r="AT16" s="193"/>
      <c r="AU16" s="383" t="str">
        <f t="shared" si="10"/>
        <v>WFOŚiGW 52/2008/76/OZ/po/P</v>
      </c>
      <c r="AV16" s="384">
        <f t="shared" si="10"/>
        <v>138349</v>
      </c>
      <c r="AW16" s="385">
        <f t="shared" si="11"/>
        <v>88389</v>
      </c>
      <c r="AX16" s="386">
        <f t="shared" si="12"/>
        <v>7958</v>
      </c>
      <c r="AY16" s="387">
        <f t="shared" si="13"/>
        <v>96347</v>
      </c>
      <c r="AZ16" s="385">
        <f t="shared" si="14"/>
        <v>73017</v>
      </c>
      <c r="BA16" s="386">
        <f t="shared" si="15"/>
        <v>5479</v>
      </c>
      <c r="BB16" s="387">
        <f t="shared" si="16"/>
        <v>78496</v>
      </c>
      <c r="BC16" s="385">
        <f t="shared" si="17"/>
        <v>57645</v>
      </c>
      <c r="BD16" s="386">
        <f t="shared" si="18"/>
        <v>3461</v>
      </c>
      <c r="BE16" s="387">
        <f t="shared" si="19"/>
        <v>61106</v>
      </c>
      <c r="BF16" s="385">
        <f t="shared" si="20"/>
        <v>42273</v>
      </c>
      <c r="BG16" s="386">
        <f t="shared" si="21"/>
        <v>1904</v>
      </c>
      <c r="BH16" s="387">
        <f t="shared" si="22"/>
        <v>44177</v>
      </c>
      <c r="BI16" s="385">
        <f t="shared" si="23"/>
        <v>26901</v>
      </c>
      <c r="BJ16" s="386">
        <f t="shared" si="24"/>
        <v>808</v>
      </c>
      <c r="BK16" s="387">
        <f t="shared" si="25"/>
        <v>27709</v>
      </c>
      <c r="BL16" s="385">
        <f t="shared" si="26"/>
        <v>11529</v>
      </c>
      <c r="BM16" s="386">
        <f t="shared" si="27"/>
        <v>173</v>
      </c>
      <c r="BN16" s="387">
        <f t="shared" si="28"/>
        <v>11702</v>
      </c>
      <c r="BO16" s="385">
        <f t="shared" si="29"/>
        <v>0</v>
      </c>
      <c r="BP16" s="386">
        <f t="shared" si="30"/>
        <v>0</v>
      </c>
      <c r="BQ16" s="387">
        <f t="shared" si="31"/>
        <v>0</v>
      </c>
      <c r="BR16" s="385">
        <f t="shared" si="32"/>
        <v>0</v>
      </c>
      <c r="BS16" s="386">
        <f t="shared" si="33"/>
        <v>0</v>
      </c>
      <c r="BT16" s="387">
        <f t="shared" si="34"/>
        <v>0</v>
      </c>
      <c r="BU16" s="385">
        <f t="shared" si="35"/>
        <v>0</v>
      </c>
      <c r="BV16" s="386">
        <f t="shared" si="36"/>
        <v>0</v>
      </c>
      <c r="BW16" s="387">
        <f t="shared" si="37"/>
        <v>0</v>
      </c>
      <c r="BX16" s="385">
        <f t="shared" si="38"/>
        <v>0</v>
      </c>
      <c r="BY16" s="386">
        <f t="shared" si="39"/>
        <v>0</v>
      </c>
      <c r="BZ16" s="387">
        <f t="shared" si="40"/>
        <v>0</v>
      </c>
      <c r="CA16" s="385">
        <f t="shared" si="41"/>
        <v>0</v>
      </c>
      <c r="CB16" s="386">
        <f t="shared" si="42"/>
        <v>0</v>
      </c>
      <c r="CC16" s="387">
        <f t="shared" si="43"/>
        <v>0</v>
      </c>
      <c r="CD16" s="385">
        <f t="shared" si="44"/>
        <v>0</v>
      </c>
      <c r="CE16" s="386">
        <f t="shared" si="45"/>
        <v>0</v>
      </c>
      <c r="CF16" s="387">
        <f t="shared" si="46"/>
        <v>0</v>
      </c>
      <c r="CG16" s="385">
        <f t="shared" si="47"/>
        <v>0</v>
      </c>
      <c r="CH16" s="386">
        <f t="shared" si="48"/>
        <v>0</v>
      </c>
      <c r="CI16" s="387">
        <f t="shared" si="49"/>
        <v>0</v>
      </c>
      <c r="CJ16" s="385">
        <f t="shared" si="50"/>
        <v>0</v>
      </c>
      <c r="CK16" s="386">
        <f t="shared" si="51"/>
        <v>0</v>
      </c>
      <c r="CL16" s="387">
        <f t="shared" si="52"/>
        <v>0</v>
      </c>
      <c r="CM16" s="385">
        <f t="shared" si="53"/>
        <v>0</v>
      </c>
      <c r="CN16" s="386">
        <f t="shared" si="54"/>
        <v>0</v>
      </c>
      <c r="CO16" s="387">
        <f t="shared" si="55"/>
        <v>0</v>
      </c>
      <c r="CP16" s="385">
        <f t="shared" si="56"/>
        <v>0</v>
      </c>
      <c r="CQ16" s="386">
        <f t="shared" si="57"/>
        <v>0</v>
      </c>
      <c r="CR16" s="387">
        <f t="shared" si="58"/>
        <v>0</v>
      </c>
      <c r="CS16" s="385">
        <f t="shared" si="59"/>
        <v>0</v>
      </c>
      <c r="CT16" s="386">
        <f t="shared" si="60"/>
        <v>0</v>
      </c>
      <c r="CU16" s="387">
        <f t="shared" si="61"/>
        <v>0</v>
      </c>
      <c r="CV16" s="385">
        <f t="shared" si="62"/>
        <v>0</v>
      </c>
      <c r="CW16" s="386">
        <f t="shared" si="63"/>
        <v>0</v>
      </c>
      <c r="CX16" s="387">
        <f t="shared" si="64"/>
        <v>0</v>
      </c>
    </row>
    <row r="17" spans="1:102">
      <c r="A17" s="376" t="str">
        <f>'HSZ do groszy'!A17</f>
        <v>WFOŚiGW 57/2007/76/OA/oe/P</v>
      </c>
      <c r="B17" s="377">
        <f>ROUNDUP('HSZ do groszy'!B17,0)</f>
        <v>499709</v>
      </c>
      <c r="C17" s="378">
        <f>ROUNDUP('HSZ do groszy'!C17,0)</f>
        <v>47500</v>
      </c>
      <c r="D17" s="379">
        <f>ROUNDUP('HSZ do groszy'!D17,0)</f>
        <v>12237</v>
      </c>
      <c r="E17" s="378">
        <f t="shared" si="8"/>
        <v>332500</v>
      </c>
      <c r="F17" s="379">
        <f t="shared" si="9"/>
        <v>35854</v>
      </c>
      <c r="G17" s="378">
        <f>ROUNDUP('HSZ do groszy'!G17,0)</f>
        <v>47500</v>
      </c>
      <c r="H17" s="379">
        <f>ROUNDUP('HSZ do groszy'!H17,0)</f>
        <v>9397</v>
      </c>
      <c r="I17" s="378">
        <f>ROUNDUP('HSZ do groszy'!I17,0)</f>
        <v>47500</v>
      </c>
      <c r="J17" s="379">
        <f>ROUNDUP('HSZ do groszy'!J17,0)</f>
        <v>7972</v>
      </c>
      <c r="K17" s="380">
        <f>ROUNDUP('HSZ do groszy'!K17,0)</f>
        <v>47500</v>
      </c>
      <c r="L17" s="381">
        <f>ROUNDUP('HSZ do groszy'!L17,0)</f>
        <v>6547</v>
      </c>
      <c r="M17" s="378">
        <f>ROUNDUP('HSZ do groszy'!M17,0)</f>
        <v>47500</v>
      </c>
      <c r="N17" s="379">
        <f>ROUNDUP('HSZ do groszy'!N17,0)</f>
        <v>5122</v>
      </c>
      <c r="O17" s="380">
        <f>ROUNDUP('HSZ do groszy'!O17,0)</f>
        <v>47500</v>
      </c>
      <c r="P17" s="381">
        <f>ROUNDUP('HSZ do groszy'!P17,0)</f>
        <v>3697</v>
      </c>
      <c r="Q17" s="378">
        <f>ROUNDUP('HSZ do groszy'!Q17,0)</f>
        <v>47500</v>
      </c>
      <c r="R17" s="379">
        <f>ROUNDUP('HSZ do groszy'!R17,0)</f>
        <v>2272</v>
      </c>
      <c r="S17" s="380">
        <f>ROUNDUP('HSZ do groszy'!S17,0)</f>
        <v>47500</v>
      </c>
      <c r="T17" s="381">
        <f>ROUNDUP('HSZ do groszy'!T17,0)</f>
        <v>847</v>
      </c>
      <c r="U17" s="378">
        <f>ROUNDUP('HSZ do groszy'!U17,0)</f>
        <v>0</v>
      </c>
      <c r="V17" s="379">
        <f>ROUNDUP('HSZ do groszy'!V17,0)</f>
        <v>0</v>
      </c>
      <c r="W17" s="380">
        <f>ROUNDUP('HSZ do groszy'!W17,0)</f>
        <v>0</v>
      </c>
      <c r="X17" s="381">
        <f>ROUNDUP('HSZ do groszy'!X17,0)</f>
        <v>0</v>
      </c>
      <c r="Y17" s="378">
        <f>ROUNDUP('HSZ do groszy'!Y17,0)</f>
        <v>0</v>
      </c>
      <c r="Z17" s="379">
        <f>ROUNDUP('HSZ do groszy'!Z17,0)</f>
        <v>0</v>
      </c>
      <c r="AA17" s="380">
        <f>ROUNDUP('HSZ do groszy'!AA17,0)</f>
        <v>0</v>
      </c>
      <c r="AB17" s="381">
        <f>ROUNDUP('HSZ do groszy'!AB17,0)</f>
        <v>0</v>
      </c>
      <c r="AC17" s="378">
        <f>ROUNDUP('HSZ do groszy'!AC17,0)</f>
        <v>0</v>
      </c>
      <c r="AD17" s="379">
        <f>ROUNDUP('HSZ do groszy'!AD17,0)</f>
        <v>0</v>
      </c>
      <c r="AE17" s="380">
        <f>ROUNDUP('HSZ do groszy'!AE17,0)</f>
        <v>0</v>
      </c>
      <c r="AF17" s="379">
        <f>ROUNDUP('HSZ do groszy'!AF17,0)</f>
        <v>0</v>
      </c>
      <c r="AG17" s="380">
        <f>ROUNDUP('HSZ do groszy'!AG17,0)</f>
        <v>0</v>
      </c>
      <c r="AH17" s="382">
        <f>ROUNDUP('HSZ do groszy'!AH17,0)</f>
        <v>0</v>
      </c>
      <c r="AI17" s="380">
        <f>ROUNDUP('HSZ do groszy'!AI17,0)</f>
        <v>0</v>
      </c>
      <c r="AJ17" s="382">
        <f>ROUNDUP('HSZ do groszy'!AJ17,0)</f>
        <v>0</v>
      </c>
      <c r="AK17" s="380">
        <f>ROUNDUP('HSZ do groszy'!AK17,0)</f>
        <v>0</v>
      </c>
      <c r="AL17" s="382">
        <f>ROUNDUP('HSZ do groszy'!AL17,0)</f>
        <v>0</v>
      </c>
      <c r="AM17" s="380">
        <f>ROUNDUP('HSZ do groszy'!AM17,0)</f>
        <v>0</v>
      </c>
      <c r="AN17" s="382">
        <f>ROUNDUP('HSZ do groszy'!AN17,0)</f>
        <v>0</v>
      </c>
      <c r="AO17" s="380">
        <f>ROUNDUP('HSZ do groszy'!AO17,0)</f>
        <v>0</v>
      </c>
      <c r="AP17" s="382">
        <f>ROUNDUP('HSZ do groszy'!AP17,0)</f>
        <v>0</v>
      </c>
      <c r="AQ17" s="380">
        <f>ROUNDUP('HSZ do groszy'!AQ17,0)</f>
        <v>0</v>
      </c>
      <c r="AR17" s="382">
        <f>ROUNDUP('HSZ do groszy'!AR17,0)</f>
        <v>0</v>
      </c>
      <c r="AS17" s="193"/>
      <c r="AT17" s="193"/>
      <c r="AU17" s="383" t="str">
        <f t="shared" si="10"/>
        <v>WFOŚiGW 57/2007/76/OA/oe/P</v>
      </c>
      <c r="AV17" s="384">
        <f t="shared" si="10"/>
        <v>499709</v>
      </c>
      <c r="AW17" s="385">
        <f t="shared" si="11"/>
        <v>285000</v>
      </c>
      <c r="AX17" s="386">
        <f t="shared" si="12"/>
        <v>26457</v>
      </c>
      <c r="AY17" s="387">
        <f t="shared" si="13"/>
        <v>311457</v>
      </c>
      <c r="AZ17" s="385">
        <f t="shared" si="14"/>
        <v>237500</v>
      </c>
      <c r="BA17" s="386">
        <f t="shared" si="15"/>
        <v>18485</v>
      </c>
      <c r="BB17" s="387">
        <f t="shared" si="16"/>
        <v>255985</v>
      </c>
      <c r="BC17" s="385">
        <f t="shared" si="17"/>
        <v>190000</v>
      </c>
      <c r="BD17" s="386">
        <f t="shared" si="18"/>
        <v>11938</v>
      </c>
      <c r="BE17" s="387">
        <f t="shared" si="19"/>
        <v>201938</v>
      </c>
      <c r="BF17" s="385">
        <f t="shared" si="20"/>
        <v>142500</v>
      </c>
      <c r="BG17" s="386">
        <f t="shared" si="21"/>
        <v>6816</v>
      </c>
      <c r="BH17" s="387">
        <f t="shared" si="22"/>
        <v>149316</v>
      </c>
      <c r="BI17" s="385">
        <f t="shared" si="23"/>
        <v>95000</v>
      </c>
      <c r="BJ17" s="386">
        <f t="shared" si="24"/>
        <v>3119</v>
      </c>
      <c r="BK17" s="387">
        <f t="shared" si="25"/>
        <v>98119</v>
      </c>
      <c r="BL17" s="385">
        <f t="shared" si="26"/>
        <v>47500</v>
      </c>
      <c r="BM17" s="386">
        <f t="shared" si="27"/>
        <v>847</v>
      </c>
      <c r="BN17" s="387">
        <f t="shared" si="28"/>
        <v>48347</v>
      </c>
      <c r="BO17" s="385">
        <f t="shared" si="29"/>
        <v>0</v>
      </c>
      <c r="BP17" s="386">
        <f t="shared" si="30"/>
        <v>0</v>
      </c>
      <c r="BQ17" s="387">
        <f t="shared" si="31"/>
        <v>0</v>
      </c>
      <c r="BR17" s="385">
        <f t="shared" si="32"/>
        <v>0</v>
      </c>
      <c r="BS17" s="386">
        <f t="shared" si="33"/>
        <v>0</v>
      </c>
      <c r="BT17" s="387">
        <f t="shared" si="34"/>
        <v>0</v>
      </c>
      <c r="BU17" s="385">
        <f t="shared" si="35"/>
        <v>0</v>
      </c>
      <c r="BV17" s="386">
        <f t="shared" si="36"/>
        <v>0</v>
      </c>
      <c r="BW17" s="387">
        <f t="shared" si="37"/>
        <v>0</v>
      </c>
      <c r="BX17" s="385">
        <f t="shared" si="38"/>
        <v>0</v>
      </c>
      <c r="BY17" s="386">
        <f t="shared" si="39"/>
        <v>0</v>
      </c>
      <c r="BZ17" s="387">
        <f t="shared" si="40"/>
        <v>0</v>
      </c>
      <c r="CA17" s="385">
        <f t="shared" si="41"/>
        <v>0</v>
      </c>
      <c r="CB17" s="386">
        <f t="shared" si="42"/>
        <v>0</v>
      </c>
      <c r="CC17" s="387">
        <f t="shared" si="43"/>
        <v>0</v>
      </c>
      <c r="CD17" s="385">
        <f t="shared" si="44"/>
        <v>0</v>
      </c>
      <c r="CE17" s="386">
        <f t="shared" si="45"/>
        <v>0</v>
      </c>
      <c r="CF17" s="387">
        <f t="shared" si="46"/>
        <v>0</v>
      </c>
      <c r="CG17" s="385">
        <f t="shared" si="47"/>
        <v>0</v>
      </c>
      <c r="CH17" s="386">
        <f t="shared" si="48"/>
        <v>0</v>
      </c>
      <c r="CI17" s="387">
        <f t="shared" si="49"/>
        <v>0</v>
      </c>
      <c r="CJ17" s="385">
        <f t="shared" si="50"/>
        <v>0</v>
      </c>
      <c r="CK17" s="386">
        <f t="shared" si="51"/>
        <v>0</v>
      </c>
      <c r="CL17" s="387">
        <f t="shared" si="52"/>
        <v>0</v>
      </c>
      <c r="CM17" s="385">
        <f t="shared" si="53"/>
        <v>0</v>
      </c>
      <c r="CN17" s="386">
        <f t="shared" si="54"/>
        <v>0</v>
      </c>
      <c r="CO17" s="387">
        <f t="shared" si="55"/>
        <v>0</v>
      </c>
      <c r="CP17" s="385">
        <f t="shared" si="56"/>
        <v>0</v>
      </c>
      <c r="CQ17" s="386">
        <f t="shared" si="57"/>
        <v>0</v>
      </c>
      <c r="CR17" s="387">
        <f t="shared" si="58"/>
        <v>0</v>
      </c>
      <c r="CS17" s="385">
        <f t="shared" si="59"/>
        <v>0</v>
      </c>
      <c r="CT17" s="386">
        <f t="shared" si="60"/>
        <v>0</v>
      </c>
      <c r="CU17" s="387">
        <f t="shared" si="61"/>
        <v>0</v>
      </c>
      <c r="CV17" s="385">
        <f t="shared" si="62"/>
        <v>0</v>
      </c>
      <c r="CW17" s="386">
        <f t="shared" si="63"/>
        <v>0</v>
      </c>
      <c r="CX17" s="387">
        <f t="shared" si="64"/>
        <v>0</v>
      </c>
    </row>
    <row r="18" spans="1:102">
      <c r="A18" s="388" t="str">
        <f>'HSZ do groszy'!A18</f>
        <v>WFOŚiGW 174/2003/76/OA/no/P</v>
      </c>
      <c r="B18" s="389">
        <f>ROUNDUP('HSZ do groszy'!B18,0)</f>
        <v>307667</v>
      </c>
      <c r="C18" s="378">
        <f>ROUNDUP('HSZ do groszy'!C18,0)</f>
        <v>38000</v>
      </c>
      <c r="D18" s="379">
        <f>ROUNDUP('HSZ do groszy'!D18,0)</f>
        <v>834</v>
      </c>
      <c r="E18" s="378">
        <f t="shared" si="8"/>
        <v>38000</v>
      </c>
      <c r="F18" s="379">
        <f t="shared" si="9"/>
        <v>94</v>
      </c>
      <c r="G18" s="378">
        <f>ROUNDUP('HSZ do groszy'!G18,0)</f>
        <v>38000</v>
      </c>
      <c r="H18" s="379">
        <f>ROUNDUP('HSZ do groszy'!H18,0)</f>
        <v>94</v>
      </c>
      <c r="I18" s="378">
        <f>ROUNDUP('HSZ do groszy'!I18,0)</f>
        <v>0</v>
      </c>
      <c r="J18" s="379">
        <f>ROUNDUP('HSZ do groszy'!J18,0)</f>
        <v>0</v>
      </c>
      <c r="K18" s="380">
        <f>ROUNDUP('HSZ do groszy'!K18,0)</f>
        <v>0</v>
      </c>
      <c r="L18" s="381">
        <f>ROUNDUP('HSZ do groszy'!L18,0)</f>
        <v>0</v>
      </c>
      <c r="M18" s="378">
        <f>ROUNDUP('HSZ do groszy'!M18,0)</f>
        <v>0</v>
      </c>
      <c r="N18" s="379">
        <f>ROUNDUP('HSZ do groszy'!N18,0)</f>
        <v>0</v>
      </c>
      <c r="O18" s="380">
        <f>ROUNDUP('HSZ do groszy'!O18,0)</f>
        <v>0</v>
      </c>
      <c r="P18" s="381">
        <f>ROUNDUP('HSZ do groszy'!P18,0)</f>
        <v>0</v>
      </c>
      <c r="Q18" s="378">
        <f>ROUNDUP('HSZ do groszy'!Q18,0)</f>
        <v>0</v>
      </c>
      <c r="R18" s="379">
        <f>ROUNDUP('HSZ do groszy'!R18,0)</f>
        <v>0</v>
      </c>
      <c r="S18" s="380">
        <f>ROUNDUP('HSZ do groszy'!S18,0)</f>
        <v>0</v>
      </c>
      <c r="T18" s="381">
        <f>ROUNDUP('HSZ do groszy'!T18,0)</f>
        <v>0</v>
      </c>
      <c r="U18" s="378">
        <f>ROUNDUP('HSZ do groszy'!U18,0)</f>
        <v>0</v>
      </c>
      <c r="V18" s="379">
        <f>ROUNDUP('HSZ do groszy'!V18,0)</f>
        <v>0</v>
      </c>
      <c r="W18" s="380">
        <f>ROUNDUP('HSZ do groszy'!W18,0)</f>
        <v>0</v>
      </c>
      <c r="X18" s="381">
        <f>ROUNDUP('HSZ do groszy'!X18,0)</f>
        <v>0</v>
      </c>
      <c r="Y18" s="378">
        <f>ROUNDUP('HSZ do groszy'!Y18,0)</f>
        <v>0</v>
      </c>
      <c r="Z18" s="379">
        <f>ROUNDUP('HSZ do groszy'!Z18,0)</f>
        <v>0</v>
      </c>
      <c r="AA18" s="380">
        <f>ROUNDUP('HSZ do groszy'!AA18,0)</f>
        <v>0</v>
      </c>
      <c r="AB18" s="381">
        <f>ROUNDUP('HSZ do groszy'!AB18,0)</f>
        <v>0</v>
      </c>
      <c r="AC18" s="378">
        <f>ROUNDUP('HSZ do groszy'!AC18,0)</f>
        <v>0</v>
      </c>
      <c r="AD18" s="379">
        <f>ROUNDUP('HSZ do groszy'!AD18,0)</f>
        <v>0</v>
      </c>
      <c r="AE18" s="380">
        <f>ROUNDUP('HSZ do groszy'!AE18,0)</f>
        <v>0</v>
      </c>
      <c r="AF18" s="379">
        <f>ROUNDUP('HSZ do groszy'!AF18,0)</f>
        <v>0</v>
      </c>
      <c r="AG18" s="380">
        <f>ROUNDUP('HSZ do groszy'!AG18,0)</f>
        <v>0</v>
      </c>
      <c r="AH18" s="382">
        <f>ROUNDUP('HSZ do groszy'!AH18,0)</f>
        <v>0</v>
      </c>
      <c r="AI18" s="380">
        <f>ROUNDUP('HSZ do groszy'!AI18,0)</f>
        <v>0</v>
      </c>
      <c r="AJ18" s="382">
        <f>ROUNDUP('HSZ do groszy'!AJ18,0)</f>
        <v>0</v>
      </c>
      <c r="AK18" s="380">
        <f>ROUNDUP('HSZ do groszy'!AK18,0)</f>
        <v>0</v>
      </c>
      <c r="AL18" s="382">
        <f>ROUNDUP('HSZ do groszy'!AL18,0)</f>
        <v>0</v>
      </c>
      <c r="AM18" s="380">
        <f>ROUNDUP('HSZ do groszy'!AM18,0)</f>
        <v>0</v>
      </c>
      <c r="AN18" s="382">
        <f>ROUNDUP('HSZ do groszy'!AN18,0)</f>
        <v>0</v>
      </c>
      <c r="AO18" s="380">
        <f>ROUNDUP('HSZ do groszy'!AO18,0)</f>
        <v>0</v>
      </c>
      <c r="AP18" s="382">
        <f>ROUNDUP('HSZ do groszy'!AP18,0)</f>
        <v>0</v>
      </c>
      <c r="AQ18" s="380">
        <f>ROUNDUP('HSZ do groszy'!AQ18,0)</f>
        <v>0</v>
      </c>
      <c r="AR18" s="382">
        <f>ROUNDUP('HSZ do groszy'!AR18,0)</f>
        <v>0</v>
      </c>
      <c r="AS18" s="193"/>
      <c r="AT18" s="193"/>
      <c r="AU18" s="383" t="str">
        <f t="shared" si="10"/>
        <v>WFOŚiGW 174/2003/76/OA/no/P</v>
      </c>
      <c r="AV18" s="384">
        <f t="shared" si="10"/>
        <v>307667</v>
      </c>
      <c r="AW18" s="385">
        <f t="shared" si="11"/>
        <v>0</v>
      </c>
      <c r="AX18" s="386">
        <f t="shared" si="12"/>
        <v>0</v>
      </c>
      <c r="AY18" s="387">
        <f t="shared" si="13"/>
        <v>0</v>
      </c>
      <c r="AZ18" s="385">
        <f t="shared" si="14"/>
        <v>0</v>
      </c>
      <c r="BA18" s="386">
        <f t="shared" si="15"/>
        <v>0</v>
      </c>
      <c r="BB18" s="387">
        <f t="shared" si="16"/>
        <v>0</v>
      </c>
      <c r="BC18" s="385">
        <f t="shared" si="17"/>
        <v>0</v>
      </c>
      <c r="BD18" s="386">
        <f t="shared" si="18"/>
        <v>0</v>
      </c>
      <c r="BE18" s="387">
        <f t="shared" si="19"/>
        <v>0</v>
      </c>
      <c r="BF18" s="385">
        <f t="shared" si="20"/>
        <v>0</v>
      </c>
      <c r="BG18" s="386">
        <f t="shared" si="21"/>
        <v>0</v>
      </c>
      <c r="BH18" s="387">
        <f t="shared" si="22"/>
        <v>0</v>
      </c>
      <c r="BI18" s="385">
        <f t="shared" si="23"/>
        <v>0</v>
      </c>
      <c r="BJ18" s="386">
        <f t="shared" si="24"/>
        <v>0</v>
      </c>
      <c r="BK18" s="387">
        <f t="shared" si="25"/>
        <v>0</v>
      </c>
      <c r="BL18" s="385">
        <f t="shared" si="26"/>
        <v>0</v>
      </c>
      <c r="BM18" s="386">
        <f t="shared" si="27"/>
        <v>0</v>
      </c>
      <c r="BN18" s="387">
        <f t="shared" si="28"/>
        <v>0</v>
      </c>
      <c r="BO18" s="385">
        <f t="shared" si="29"/>
        <v>0</v>
      </c>
      <c r="BP18" s="386">
        <f t="shared" si="30"/>
        <v>0</v>
      </c>
      <c r="BQ18" s="387">
        <f t="shared" si="31"/>
        <v>0</v>
      </c>
      <c r="BR18" s="385">
        <f t="shared" si="32"/>
        <v>0</v>
      </c>
      <c r="BS18" s="386">
        <f t="shared" si="33"/>
        <v>0</v>
      </c>
      <c r="BT18" s="387">
        <f t="shared" si="34"/>
        <v>0</v>
      </c>
      <c r="BU18" s="385">
        <f t="shared" si="35"/>
        <v>0</v>
      </c>
      <c r="BV18" s="386">
        <f t="shared" si="36"/>
        <v>0</v>
      </c>
      <c r="BW18" s="387">
        <f t="shared" si="37"/>
        <v>0</v>
      </c>
      <c r="BX18" s="385">
        <f t="shared" si="38"/>
        <v>0</v>
      </c>
      <c r="BY18" s="386">
        <f t="shared" si="39"/>
        <v>0</v>
      </c>
      <c r="BZ18" s="387">
        <f t="shared" si="40"/>
        <v>0</v>
      </c>
      <c r="CA18" s="385">
        <f t="shared" si="41"/>
        <v>0</v>
      </c>
      <c r="CB18" s="386">
        <f t="shared" si="42"/>
        <v>0</v>
      </c>
      <c r="CC18" s="387">
        <f t="shared" si="43"/>
        <v>0</v>
      </c>
      <c r="CD18" s="385">
        <f t="shared" si="44"/>
        <v>0</v>
      </c>
      <c r="CE18" s="386">
        <f t="shared" si="45"/>
        <v>0</v>
      </c>
      <c r="CF18" s="387">
        <f t="shared" si="46"/>
        <v>0</v>
      </c>
      <c r="CG18" s="385">
        <f t="shared" si="47"/>
        <v>0</v>
      </c>
      <c r="CH18" s="386">
        <f t="shared" si="48"/>
        <v>0</v>
      </c>
      <c r="CI18" s="387">
        <f t="shared" si="49"/>
        <v>0</v>
      </c>
      <c r="CJ18" s="385">
        <f t="shared" si="50"/>
        <v>0</v>
      </c>
      <c r="CK18" s="386">
        <f t="shared" si="51"/>
        <v>0</v>
      </c>
      <c r="CL18" s="387">
        <f t="shared" si="52"/>
        <v>0</v>
      </c>
      <c r="CM18" s="385">
        <f t="shared" si="53"/>
        <v>0</v>
      </c>
      <c r="CN18" s="386">
        <f t="shared" si="54"/>
        <v>0</v>
      </c>
      <c r="CO18" s="387">
        <f t="shared" si="55"/>
        <v>0</v>
      </c>
      <c r="CP18" s="385">
        <f t="shared" si="56"/>
        <v>0</v>
      </c>
      <c r="CQ18" s="386">
        <f t="shared" si="57"/>
        <v>0</v>
      </c>
      <c r="CR18" s="387">
        <f t="shared" si="58"/>
        <v>0</v>
      </c>
      <c r="CS18" s="385">
        <f t="shared" si="59"/>
        <v>0</v>
      </c>
      <c r="CT18" s="386">
        <f t="shared" si="60"/>
        <v>0</v>
      </c>
      <c r="CU18" s="387">
        <f t="shared" si="61"/>
        <v>0</v>
      </c>
      <c r="CV18" s="385">
        <f t="shared" si="62"/>
        <v>0</v>
      </c>
      <c r="CW18" s="386">
        <f t="shared" si="63"/>
        <v>0</v>
      </c>
      <c r="CX18" s="387">
        <f t="shared" si="64"/>
        <v>0</v>
      </c>
    </row>
    <row r="19" spans="1:102">
      <c r="A19" s="376" t="str">
        <f>'HSZ do groszy'!A19</f>
        <v>WFOŚiGW 194/2008/76/OA/no/P</v>
      </c>
      <c r="B19" s="377">
        <f>ROUNDUP('HSZ do groszy'!B19,0)</f>
        <v>366174</v>
      </c>
      <c r="C19" s="378">
        <f>ROUNDUP('HSZ do groszy'!C19,0)</f>
        <v>37000</v>
      </c>
      <c r="D19" s="379">
        <f>ROUNDUP('HSZ do groszy'!D19,0)</f>
        <v>10240</v>
      </c>
      <c r="E19" s="378">
        <f t="shared" si="8"/>
        <v>292174</v>
      </c>
      <c r="F19" s="379">
        <f t="shared" si="9"/>
        <v>32217</v>
      </c>
      <c r="G19" s="378">
        <f>ROUNDUP('HSZ do groszy'!G19,0)</f>
        <v>37000</v>
      </c>
      <c r="H19" s="379">
        <f>ROUNDUP('HSZ do groszy'!H19,0)</f>
        <v>8026</v>
      </c>
      <c r="I19" s="378">
        <f>ROUNDUP('HSZ do groszy'!I19,0)</f>
        <v>37000</v>
      </c>
      <c r="J19" s="379">
        <f>ROUNDUP('HSZ do groszy'!J19,0)</f>
        <v>6916</v>
      </c>
      <c r="K19" s="380">
        <f>ROUNDUP('HSZ do groszy'!K19,0)</f>
        <v>35087</v>
      </c>
      <c r="L19" s="381">
        <f>ROUNDUP('HSZ do groszy'!L19,0)</f>
        <v>5830</v>
      </c>
      <c r="M19" s="378">
        <f>ROUNDUP('HSZ do groszy'!M19,0)</f>
        <v>40686</v>
      </c>
      <c r="N19" s="379">
        <f>ROUNDUP('HSZ do groszy'!N19,0)</f>
        <v>4679</v>
      </c>
      <c r="O19" s="380">
        <f>ROUNDUP('HSZ do groszy'!O19,0)</f>
        <v>40686</v>
      </c>
      <c r="P19" s="381">
        <f>ROUNDUP('HSZ do groszy'!P19,0)</f>
        <v>3459</v>
      </c>
      <c r="Q19" s="378">
        <f>ROUNDUP('HSZ do groszy'!Q19,0)</f>
        <v>40686</v>
      </c>
      <c r="R19" s="379">
        <f>ROUNDUP('HSZ do groszy'!R19,0)</f>
        <v>2238</v>
      </c>
      <c r="S19" s="380">
        <f>ROUNDUP('HSZ do groszy'!S19,0)</f>
        <v>40686</v>
      </c>
      <c r="T19" s="381">
        <f>ROUNDUP('HSZ do groszy'!T19,0)</f>
        <v>1018</v>
      </c>
      <c r="U19" s="378">
        <f>ROUNDUP('HSZ do groszy'!U19,0)</f>
        <v>20343</v>
      </c>
      <c r="V19" s="379">
        <f>ROUNDUP('HSZ do groszy'!V19,0)</f>
        <v>51</v>
      </c>
      <c r="W19" s="380">
        <f>ROUNDUP('HSZ do groszy'!W19,0)</f>
        <v>0</v>
      </c>
      <c r="X19" s="381">
        <f>ROUNDUP('HSZ do groszy'!X19,0)</f>
        <v>0</v>
      </c>
      <c r="Y19" s="378">
        <f>ROUNDUP('HSZ do groszy'!Y19,0)</f>
        <v>0</v>
      </c>
      <c r="Z19" s="379">
        <f>ROUNDUP('HSZ do groszy'!Z19,0)</f>
        <v>0</v>
      </c>
      <c r="AA19" s="380">
        <f>ROUNDUP('HSZ do groszy'!AA19,0)</f>
        <v>0</v>
      </c>
      <c r="AB19" s="381">
        <f>ROUNDUP('HSZ do groszy'!AB19,0)</f>
        <v>0</v>
      </c>
      <c r="AC19" s="378">
        <f>ROUNDUP('HSZ do groszy'!AC19,0)</f>
        <v>0</v>
      </c>
      <c r="AD19" s="379">
        <f>ROUNDUP('HSZ do groszy'!AD19,0)</f>
        <v>0</v>
      </c>
      <c r="AE19" s="380">
        <f>ROUNDUP('HSZ do groszy'!AE19,0)</f>
        <v>0</v>
      </c>
      <c r="AF19" s="379">
        <f>ROUNDUP('HSZ do groszy'!AF19,0)</f>
        <v>0</v>
      </c>
      <c r="AG19" s="380">
        <f>ROUNDUP('HSZ do groszy'!AG19,0)</f>
        <v>0</v>
      </c>
      <c r="AH19" s="382">
        <f>ROUNDUP('HSZ do groszy'!AH19,0)</f>
        <v>0</v>
      </c>
      <c r="AI19" s="380">
        <f>ROUNDUP('HSZ do groszy'!AI19,0)</f>
        <v>0</v>
      </c>
      <c r="AJ19" s="382">
        <f>ROUNDUP('HSZ do groszy'!AJ19,0)</f>
        <v>0</v>
      </c>
      <c r="AK19" s="380">
        <f>ROUNDUP('HSZ do groszy'!AK19,0)</f>
        <v>0</v>
      </c>
      <c r="AL19" s="382">
        <f>ROUNDUP('HSZ do groszy'!AL19,0)</f>
        <v>0</v>
      </c>
      <c r="AM19" s="380">
        <f>ROUNDUP('HSZ do groszy'!AM19,0)</f>
        <v>0</v>
      </c>
      <c r="AN19" s="382">
        <f>ROUNDUP('HSZ do groszy'!AN19,0)</f>
        <v>0</v>
      </c>
      <c r="AO19" s="380">
        <f>ROUNDUP('HSZ do groszy'!AO19,0)</f>
        <v>0</v>
      </c>
      <c r="AP19" s="382">
        <f>ROUNDUP('HSZ do groszy'!AP19,0)</f>
        <v>0</v>
      </c>
      <c r="AQ19" s="380">
        <f>ROUNDUP('HSZ do groszy'!AQ19,0)</f>
        <v>0</v>
      </c>
      <c r="AR19" s="382">
        <f>ROUNDUP('HSZ do groszy'!AR19,0)</f>
        <v>0</v>
      </c>
      <c r="AS19" s="193"/>
      <c r="AT19" s="193"/>
      <c r="AU19" s="383" t="str">
        <f t="shared" si="10"/>
        <v>WFOŚiGW 194/2008/76/OA/no/P</v>
      </c>
      <c r="AV19" s="384">
        <f t="shared" si="10"/>
        <v>366174</v>
      </c>
      <c r="AW19" s="385">
        <f t="shared" si="11"/>
        <v>255174</v>
      </c>
      <c r="AX19" s="386">
        <f t="shared" si="12"/>
        <v>24191</v>
      </c>
      <c r="AY19" s="387">
        <f t="shared" si="13"/>
        <v>279365</v>
      </c>
      <c r="AZ19" s="385">
        <f t="shared" si="14"/>
        <v>218174</v>
      </c>
      <c r="BA19" s="386">
        <f t="shared" si="15"/>
        <v>17275</v>
      </c>
      <c r="BB19" s="387">
        <f t="shared" si="16"/>
        <v>235449</v>
      </c>
      <c r="BC19" s="385">
        <f>SUM($M19,$O19,$Q19,$S19,$U19,$W19,$Y19,$AA19,$AC19,$AE19,$AG19)-2</f>
        <v>183085</v>
      </c>
      <c r="BD19" s="386">
        <f t="shared" si="18"/>
        <v>11445</v>
      </c>
      <c r="BE19" s="387">
        <f t="shared" si="19"/>
        <v>194530</v>
      </c>
      <c r="BF19" s="385">
        <f>SUM($O19,$Q19,$S19,$U19,$W19,$Y19,$AA19,$AC19,$AE19,$AG19)-2</f>
        <v>142399</v>
      </c>
      <c r="BG19" s="386">
        <f t="shared" si="21"/>
        <v>6766</v>
      </c>
      <c r="BH19" s="387">
        <f t="shared" si="22"/>
        <v>149165</v>
      </c>
      <c r="BI19" s="385">
        <f>SUM($Q19,$S19,$U19,$W19,$Y19,$AA19,$AC19,$AE19,$AG19)-2</f>
        <v>101713</v>
      </c>
      <c r="BJ19" s="386">
        <f t="shared" si="24"/>
        <v>3307</v>
      </c>
      <c r="BK19" s="387">
        <f t="shared" si="25"/>
        <v>105020</v>
      </c>
      <c r="BL19" s="385">
        <f>SUM($S19,$U19,$W19,$Y19,$AA19,$AC19,$AE19,$AG19)-2</f>
        <v>61027</v>
      </c>
      <c r="BM19" s="386">
        <f t="shared" si="27"/>
        <v>1069</v>
      </c>
      <c r="BN19" s="387">
        <f t="shared" si="28"/>
        <v>62096</v>
      </c>
      <c r="BO19" s="385">
        <f>SUM($U19,$W19,$Y19,$AA19,$AC19,$AE19,$AG19)-2</f>
        <v>20341</v>
      </c>
      <c r="BP19" s="386">
        <f t="shared" si="30"/>
        <v>51</v>
      </c>
      <c r="BQ19" s="387">
        <f t="shared" si="31"/>
        <v>20392</v>
      </c>
      <c r="BR19" s="385">
        <f t="shared" si="32"/>
        <v>0</v>
      </c>
      <c r="BS19" s="386">
        <f t="shared" si="33"/>
        <v>0</v>
      </c>
      <c r="BT19" s="387">
        <f t="shared" si="34"/>
        <v>0</v>
      </c>
      <c r="BU19" s="385">
        <f t="shared" si="35"/>
        <v>0</v>
      </c>
      <c r="BV19" s="386">
        <f t="shared" si="36"/>
        <v>0</v>
      </c>
      <c r="BW19" s="387">
        <f t="shared" si="37"/>
        <v>0</v>
      </c>
      <c r="BX19" s="385">
        <f t="shared" si="38"/>
        <v>0</v>
      </c>
      <c r="BY19" s="386">
        <f t="shared" si="39"/>
        <v>0</v>
      </c>
      <c r="BZ19" s="387">
        <f t="shared" si="40"/>
        <v>0</v>
      </c>
      <c r="CA19" s="385">
        <f t="shared" si="41"/>
        <v>0</v>
      </c>
      <c r="CB19" s="386">
        <f t="shared" si="42"/>
        <v>0</v>
      </c>
      <c r="CC19" s="387">
        <f t="shared" si="43"/>
        <v>0</v>
      </c>
      <c r="CD19" s="385">
        <f t="shared" si="44"/>
        <v>0</v>
      </c>
      <c r="CE19" s="386">
        <f t="shared" si="45"/>
        <v>0</v>
      </c>
      <c r="CF19" s="387">
        <f t="shared" si="46"/>
        <v>0</v>
      </c>
      <c r="CG19" s="385">
        <f t="shared" si="47"/>
        <v>0</v>
      </c>
      <c r="CH19" s="386">
        <f t="shared" si="48"/>
        <v>0</v>
      </c>
      <c r="CI19" s="387">
        <f t="shared" si="49"/>
        <v>0</v>
      </c>
      <c r="CJ19" s="385">
        <f t="shared" si="50"/>
        <v>0</v>
      </c>
      <c r="CK19" s="386">
        <f t="shared" si="51"/>
        <v>0</v>
      </c>
      <c r="CL19" s="387">
        <f t="shared" si="52"/>
        <v>0</v>
      </c>
      <c r="CM19" s="385">
        <f t="shared" si="53"/>
        <v>0</v>
      </c>
      <c r="CN19" s="386">
        <f t="shared" si="54"/>
        <v>0</v>
      </c>
      <c r="CO19" s="387">
        <f t="shared" si="55"/>
        <v>0</v>
      </c>
      <c r="CP19" s="385">
        <f t="shared" si="56"/>
        <v>0</v>
      </c>
      <c r="CQ19" s="386">
        <f t="shared" si="57"/>
        <v>0</v>
      </c>
      <c r="CR19" s="387">
        <f t="shared" si="58"/>
        <v>0</v>
      </c>
      <c r="CS19" s="385">
        <f t="shared" si="59"/>
        <v>0</v>
      </c>
      <c r="CT19" s="386">
        <f t="shared" si="60"/>
        <v>0</v>
      </c>
      <c r="CU19" s="387">
        <f t="shared" si="61"/>
        <v>0</v>
      </c>
      <c r="CV19" s="385">
        <f t="shared" si="62"/>
        <v>0</v>
      </c>
      <c r="CW19" s="386">
        <f t="shared" si="63"/>
        <v>0</v>
      </c>
      <c r="CX19" s="387">
        <f t="shared" si="64"/>
        <v>0</v>
      </c>
    </row>
    <row r="20" spans="1:102">
      <c r="A20" s="376" t="str">
        <f>'HSZ do groszy'!A20</f>
        <v>WFOŚiGW 260/2005/76/OA/oe/P</v>
      </c>
      <c r="B20" s="377">
        <f>ROUNDUP('HSZ do groszy'!B20,0)</f>
        <v>562761</v>
      </c>
      <c r="C20" s="378">
        <f>ROUNDUP('HSZ do groszy'!C20,0)</f>
        <v>62532</v>
      </c>
      <c r="D20" s="379">
        <f>ROUNDUP('HSZ do groszy'!D20,0)</f>
        <v>10995</v>
      </c>
      <c r="E20" s="378">
        <f t="shared" si="8"/>
        <v>265734</v>
      </c>
      <c r="F20" s="379">
        <f t="shared" si="9"/>
        <v>17880</v>
      </c>
      <c r="G20" s="378">
        <f>ROUNDUP('HSZ do groszy'!G20,0)</f>
        <v>62532</v>
      </c>
      <c r="H20" s="379">
        <f>ROUNDUP('HSZ do groszy'!H20,0)</f>
        <v>7249</v>
      </c>
      <c r="I20" s="378">
        <f>ROUNDUP('HSZ do groszy'!I20,0)</f>
        <v>62532</v>
      </c>
      <c r="J20" s="379">
        <f>ROUNDUP('HSZ do groszy'!J20,0)</f>
        <v>5374</v>
      </c>
      <c r="K20" s="380">
        <f>ROUNDUP('HSZ do groszy'!K20,0)</f>
        <v>62532</v>
      </c>
      <c r="L20" s="381">
        <f>ROUNDUP('HSZ do groszy'!L20,0)</f>
        <v>3517</v>
      </c>
      <c r="M20" s="378">
        <f>ROUNDUP('HSZ do groszy'!M20,0)</f>
        <v>62532</v>
      </c>
      <c r="N20" s="379">
        <f>ROUNDUP('HSZ do groszy'!N20,0)</f>
        <v>1622</v>
      </c>
      <c r="O20" s="380">
        <f>ROUNDUP('HSZ do groszy'!O20,0)</f>
        <v>15606</v>
      </c>
      <c r="P20" s="381">
        <f>ROUNDUP('HSZ do groszy'!P20,0)</f>
        <v>118</v>
      </c>
      <c r="Q20" s="378">
        <f>ROUNDUP('HSZ do groszy'!Q20,0)</f>
        <v>0</v>
      </c>
      <c r="R20" s="379">
        <f>ROUNDUP('HSZ do groszy'!R20,0)</f>
        <v>0</v>
      </c>
      <c r="S20" s="380">
        <f>ROUNDUP('HSZ do groszy'!S20,0)</f>
        <v>0</v>
      </c>
      <c r="T20" s="381">
        <f>ROUNDUP('HSZ do groszy'!T20,0)</f>
        <v>0</v>
      </c>
      <c r="U20" s="378">
        <f>ROUNDUP('HSZ do groszy'!U20,0)</f>
        <v>0</v>
      </c>
      <c r="V20" s="379">
        <f>ROUNDUP('HSZ do groszy'!V20,0)</f>
        <v>0</v>
      </c>
      <c r="W20" s="380">
        <f>ROUNDUP('HSZ do groszy'!W20,0)</f>
        <v>0</v>
      </c>
      <c r="X20" s="381">
        <f>ROUNDUP('HSZ do groszy'!X20,0)</f>
        <v>0</v>
      </c>
      <c r="Y20" s="378">
        <f>ROUNDUP('HSZ do groszy'!Y20,0)</f>
        <v>0</v>
      </c>
      <c r="Z20" s="379">
        <f>ROUNDUP('HSZ do groszy'!Z20,0)</f>
        <v>0</v>
      </c>
      <c r="AA20" s="380">
        <f>ROUNDUP('HSZ do groszy'!AA20,0)</f>
        <v>0</v>
      </c>
      <c r="AB20" s="381">
        <f>ROUNDUP('HSZ do groszy'!AB20,0)</f>
        <v>0</v>
      </c>
      <c r="AC20" s="378">
        <f>ROUNDUP('HSZ do groszy'!AC20,0)</f>
        <v>0</v>
      </c>
      <c r="AD20" s="379">
        <f>ROUNDUP('HSZ do groszy'!AD20,0)</f>
        <v>0</v>
      </c>
      <c r="AE20" s="380">
        <f>ROUNDUP('HSZ do groszy'!AE20,0)</f>
        <v>0</v>
      </c>
      <c r="AF20" s="379">
        <f>ROUNDUP('HSZ do groszy'!AF20,0)</f>
        <v>0</v>
      </c>
      <c r="AG20" s="380">
        <f>ROUNDUP('HSZ do groszy'!AG20,0)</f>
        <v>0</v>
      </c>
      <c r="AH20" s="382">
        <f>ROUNDUP('HSZ do groszy'!AH20,0)</f>
        <v>0</v>
      </c>
      <c r="AI20" s="380">
        <f>ROUNDUP('HSZ do groszy'!AI20,0)</f>
        <v>0</v>
      </c>
      <c r="AJ20" s="382">
        <f>ROUNDUP('HSZ do groszy'!AJ20,0)</f>
        <v>0</v>
      </c>
      <c r="AK20" s="380">
        <f>ROUNDUP('HSZ do groszy'!AK20,0)</f>
        <v>0</v>
      </c>
      <c r="AL20" s="382">
        <f>ROUNDUP('HSZ do groszy'!AL20,0)</f>
        <v>0</v>
      </c>
      <c r="AM20" s="380">
        <f>ROUNDUP('HSZ do groszy'!AM20,0)</f>
        <v>0</v>
      </c>
      <c r="AN20" s="382">
        <f>ROUNDUP('HSZ do groszy'!AN20,0)</f>
        <v>0</v>
      </c>
      <c r="AO20" s="380">
        <f>ROUNDUP('HSZ do groszy'!AO20,0)</f>
        <v>0</v>
      </c>
      <c r="AP20" s="382">
        <f>ROUNDUP('HSZ do groszy'!AP20,0)</f>
        <v>0</v>
      </c>
      <c r="AQ20" s="380">
        <f>ROUNDUP('HSZ do groszy'!AQ20,0)</f>
        <v>0</v>
      </c>
      <c r="AR20" s="382">
        <f>ROUNDUP('HSZ do groszy'!AR20,0)</f>
        <v>0</v>
      </c>
      <c r="AS20" s="193"/>
      <c r="AT20" s="193"/>
      <c r="AU20" s="383" t="str">
        <f t="shared" si="10"/>
        <v>WFOŚiGW 260/2005/76/OA/oe/P</v>
      </c>
      <c r="AV20" s="384">
        <f t="shared" si="10"/>
        <v>562761</v>
      </c>
      <c r="AW20" s="385">
        <f t="shared" si="11"/>
        <v>203202</v>
      </c>
      <c r="AX20" s="386">
        <f t="shared" si="12"/>
        <v>10631</v>
      </c>
      <c r="AY20" s="387">
        <f t="shared" si="13"/>
        <v>213833</v>
      </c>
      <c r="AZ20" s="385">
        <f t="shared" si="14"/>
        <v>140670</v>
      </c>
      <c r="BA20" s="386">
        <f t="shared" si="15"/>
        <v>5257</v>
      </c>
      <c r="BB20" s="387">
        <f t="shared" si="16"/>
        <v>145927</v>
      </c>
      <c r="BC20" s="385">
        <f t="shared" si="17"/>
        <v>78138</v>
      </c>
      <c r="BD20" s="386">
        <f t="shared" si="18"/>
        <v>1740</v>
      </c>
      <c r="BE20" s="387">
        <f t="shared" si="19"/>
        <v>79878</v>
      </c>
      <c r="BF20" s="385">
        <f>SUM($O20,$Q20,$S20,$U20,$W20,$Y20,$AA20,$AC20,$AE20,$AG20)</f>
        <v>15606</v>
      </c>
      <c r="BG20" s="386">
        <f t="shared" si="21"/>
        <v>118</v>
      </c>
      <c r="BH20" s="387">
        <f t="shared" si="22"/>
        <v>15724</v>
      </c>
      <c r="BI20" s="385">
        <f t="shared" si="23"/>
        <v>0</v>
      </c>
      <c r="BJ20" s="386">
        <f t="shared" si="24"/>
        <v>0</v>
      </c>
      <c r="BK20" s="387">
        <f t="shared" si="25"/>
        <v>0</v>
      </c>
      <c r="BL20" s="385">
        <f t="shared" si="26"/>
        <v>0</v>
      </c>
      <c r="BM20" s="386">
        <f t="shared" si="27"/>
        <v>0</v>
      </c>
      <c r="BN20" s="387">
        <f t="shared" si="28"/>
        <v>0</v>
      </c>
      <c r="BO20" s="385">
        <f t="shared" si="29"/>
        <v>0</v>
      </c>
      <c r="BP20" s="386">
        <f t="shared" si="30"/>
        <v>0</v>
      </c>
      <c r="BQ20" s="387">
        <f t="shared" si="31"/>
        <v>0</v>
      </c>
      <c r="BR20" s="385">
        <f t="shared" si="32"/>
        <v>0</v>
      </c>
      <c r="BS20" s="386">
        <f t="shared" si="33"/>
        <v>0</v>
      </c>
      <c r="BT20" s="387">
        <f t="shared" si="34"/>
        <v>0</v>
      </c>
      <c r="BU20" s="385">
        <f t="shared" si="35"/>
        <v>0</v>
      </c>
      <c r="BV20" s="386">
        <f t="shared" si="36"/>
        <v>0</v>
      </c>
      <c r="BW20" s="387">
        <f t="shared" si="37"/>
        <v>0</v>
      </c>
      <c r="BX20" s="385">
        <f t="shared" si="38"/>
        <v>0</v>
      </c>
      <c r="BY20" s="386">
        <f t="shared" si="39"/>
        <v>0</v>
      </c>
      <c r="BZ20" s="387">
        <f t="shared" si="40"/>
        <v>0</v>
      </c>
      <c r="CA20" s="385">
        <f t="shared" si="41"/>
        <v>0</v>
      </c>
      <c r="CB20" s="386">
        <f t="shared" si="42"/>
        <v>0</v>
      </c>
      <c r="CC20" s="387">
        <f t="shared" si="43"/>
        <v>0</v>
      </c>
      <c r="CD20" s="385">
        <f t="shared" si="44"/>
        <v>0</v>
      </c>
      <c r="CE20" s="386">
        <f t="shared" si="45"/>
        <v>0</v>
      </c>
      <c r="CF20" s="387">
        <f t="shared" si="46"/>
        <v>0</v>
      </c>
      <c r="CG20" s="385">
        <f t="shared" si="47"/>
        <v>0</v>
      </c>
      <c r="CH20" s="386">
        <f t="shared" si="48"/>
        <v>0</v>
      </c>
      <c r="CI20" s="387">
        <f t="shared" si="49"/>
        <v>0</v>
      </c>
      <c r="CJ20" s="385">
        <f t="shared" si="50"/>
        <v>0</v>
      </c>
      <c r="CK20" s="386">
        <f t="shared" si="51"/>
        <v>0</v>
      </c>
      <c r="CL20" s="387">
        <f t="shared" si="52"/>
        <v>0</v>
      </c>
      <c r="CM20" s="385">
        <f t="shared" si="53"/>
        <v>0</v>
      </c>
      <c r="CN20" s="386">
        <f t="shared" si="54"/>
        <v>0</v>
      </c>
      <c r="CO20" s="387">
        <f t="shared" si="55"/>
        <v>0</v>
      </c>
      <c r="CP20" s="385">
        <f t="shared" si="56"/>
        <v>0</v>
      </c>
      <c r="CQ20" s="386">
        <f t="shared" si="57"/>
        <v>0</v>
      </c>
      <c r="CR20" s="387">
        <f t="shared" si="58"/>
        <v>0</v>
      </c>
      <c r="CS20" s="385">
        <f t="shared" si="59"/>
        <v>0</v>
      </c>
      <c r="CT20" s="386">
        <f t="shared" si="60"/>
        <v>0</v>
      </c>
      <c r="CU20" s="387">
        <f t="shared" si="61"/>
        <v>0</v>
      </c>
      <c r="CV20" s="385">
        <f t="shared" si="62"/>
        <v>0</v>
      </c>
      <c r="CW20" s="386">
        <f t="shared" si="63"/>
        <v>0</v>
      </c>
      <c r="CX20" s="387">
        <f t="shared" si="64"/>
        <v>0</v>
      </c>
    </row>
    <row r="21" spans="1:102">
      <c r="A21" s="388" t="str">
        <f>'HSZ do groszy'!A21</f>
        <v>WFOŚiGW 302/2006/76/OA/po/P</v>
      </c>
      <c r="B21" s="389">
        <f>ROUNDUP('HSZ do groszy'!B21,0)</f>
        <v>917338</v>
      </c>
      <c r="C21" s="378">
        <f>ROUNDUP('HSZ do groszy'!C21,0)</f>
        <v>162720</v>
      </c>
      <c r="D21" s="379">
        <f>ROUNDUP('HSZ do groszy'!D21,0)</f>
        <v>18198</v>
      </c>
      <c r="E21" s="378">
        <f t="shared" si="8"/>
        <v>347818</v>
      </c>
      <c r="F21" s="379">
        <f t="shared" si="9"/>
        <v>12206</v>
      </c>
      <c r="G21" s="378">
        <f>ROUNDUP('HSZ do groszy'!G21,0)</f>
        <v>162720</v>
      </c>
      <c r="H21" s="379">
        <f>ROUNDUP('HSZ do groszy'!H21,0)</f>
        <v>8469</v>
      </c>
      <c r="I21" s="378">
        <f>ROUNDUP('HSZ do groszy'!I21,0)</f>
        <v>162720</v>
      </c>
      <c r="J21" s="379">
        <f>ROUNDUP('HSZ do groszy'!J21,0)</f>
        <v>3587</v>
      </c>
      <c r="K21" s="380">
        <f>ROUNDUP('HSZ do groszy'!K21,0)</f>
        <v>22378</v>
      </c>
      <c r="L21" s="381">
        <f>ROUNDUP('HSZ do groszy'!L21,0)</f>
        <v>150</v>
      </c>
      <c r="M21" s="378">
        <f>ROUNDUP('HSZ do groszy'!M21,0)</f>
        <v>0</v>
      </c>
      <c r="N21" s="379">
        <f>ROUNDUP('HSZ do groszy'!N21,0)</f>
        <v>0</v>
      </c>
      <c r="O21" s="380">
        <f>ROUNDUP('HSZ do groszy'!O21,0)</f>
        <v>0</v>
      </c>
      <c r="P21" s="381">
        <f>ROUNDUP('HSZ do groszy'!P21,0)</f>
        <v>0</v>
      </c>
      <c r="Q21" s="378">
        <f>ROUNDUP('HSZ do groszy'!Q21,0)</f>
        <v>0</v>
      </c>
      <c r="R21" s="379">
        <f>ROUNDUP('HSZ do groszy'!R21,0)</f>
        <v>0</v>
      </c>
      <c r="S21" s="380">
        <f>ROUNDUP('HSZ do groszy'!S21,0)</f>
        <v>0</v>
      </c>
      <c r="T21" s="381">
        <f>ROUNDUP('HSZ do groszy'!T21,0)</f>
        <v>0</v>
      </c>
      <c r="U21" s="378">
        <f>ROUNDUP('HSZ do groszy'!U21,0)</f>
        <v>0</v>
      </c>
      <c r="V21" s="379">
        <f>ROUNDUP('HSZ do groszy'!V21,0)</f>
        <v>0</v>
      </c>
      <c r="W21" s="380">
        <f>ROUNDUP('HSZ do groszy'!W21,0)</f>
        <v>0</v>
      </c>
      <c r="X21" s="381">
        <f>ROUNDUP('HSZ do groszy'!X21,0)</f>
        <v>0</v>
      </c>
      <c r="Y21" s="378">
        <f>ROUNDUP('HSZ do groszy'!Y21,0)</f>
        <v>0</v>
      </c>
      <c r="Z21" s="379">
        <f>ROUNDUP('HSZ do groszy'!Z21,0)</f>
        <v>0</v>
      </c>
      <c r="AA21" s="380">
        <f>ROUNDUP('HSZ do groszy'!AA21,0)</f>
        <v>0</v>
      </c>
      <c r="AB21" s="381">
        <f>ROUNDUP('HSZ do groszy'!AB21,0)</f>
        <v>0</v>
      </c>
      <c r="AC21" s="378">
        <f>ROUNDUP('HSZ do groszy'!AC21,0)</f>
        <v>0</v>
      </c>
      <c r="AD21" s="379">
        <f>ROUNDUP('HSZ do groszy'!AD21,0)</f>
        <v>0</v>
      </c>
      <c r="AE21" s="380">
        <f>ROUNDUP('HSZ do groszy'!AE21,0)</f>
        <v>0</v>
      </c>
      <c r="AF21" s="379">
        <f>ROUNDUP('HSZ do groszy'!AF21,0)</f>
        <v>0</v>
      </c>
      <c r="AG21" s="380">
        <f>ROUNDUP('HSZ do groszy'!AG21,0)</f>
        <v>0</v>
      </c>
      <c r="AH21" s="382">
        <f>ROUNDUP('HSZ do groszy'!AH21,0)</f>
        <v>0</v>
      </c>
      <c r="AI21" s="380">
        <f>ROUNDUP('HSZ do groszy'!AI21,0)</f>
        <v>0</v>
      </c>
      <c r="AJ21" s="382">
        <f>ROUNDUP('HSZ do groszy'!AJ21,0)</f>
        <v>0</v>
      </c>
      <c r="AK21" s="380">
        <f>ROUNDUP('HSZ do groszy'!AK21,0)</f>
        <v>0</v>
      </c>
      <c r="AL21" s="382">
        <f>ROUNDUP('HSZ do groszy'!AL21,0)</f>
        <v>0</v>
      </c>
      <c r="AM21" s="380">
        <f>ROUNDUP('HSZ do groszy'!AM21,0)</f>
        <v>0</v>
      </c>
      <c r="AN21" s="382">
        <f>ROUNDUP('HSZ do groszy'!AN21,0)</f>
        <v>0</v>
      </c>
      <c r="AO21" s="380">
        <f>ROUNDUP('HSZ do groszy'!AO21,0)</f>
        <v>0</v>
      </c>
      <c r="AP21" s="382">
        <f>ROUNDUP('HSZ do groszy'!AP21,0)</f>
        <v>0</v>
      </c>
      <c r="AQ21" s="380">
        <f>ROUNDUP('HSZ do groszy'!AQ21,0)</f>
        <v>0</v>
      </c>
      <c r="AR21" s="382">
        <f>ROUNDUP('HSZ do groszy'!AR21,0)</f>
        <v>0</v>
      </c>
      <c r="AS21" s="193"/>
      <c r="AT21" s="193"/>
      <c r="AU21" s="383" t="str">
        <f t="shared" si="10"/>
        <v>WFOŚiGW 302/2006/76/OA/po/P</v>
      </c>
      <c r="AV21" s="384">
        <f t="shared" si="10"/>
        <v>917338</v>
      </c>
      <c r="AW21" s="385">
        <f t="shared" si="11"/>
        <v>185098</v>
      </c>
      <c r="AX21" s="386">
        <f t="shared" si="12"/>
        <v>3737</v>
      </c>
      <c r="AY21" s="387">
        <f t="shared" si="13"/>
        <v>188835</v>
      </c>
      <c r="AZ21" s="385">
        <f t="shared" si="14"/>
        <v>22378</v>
      </c>
      <c r="BA21" s="386">
        <f t="shared" si="15"/>
        <v>150</v>
      </c>
      <c r="BB21" s="387">
        <f t="shared" si="16"/>
        <v>22528</v>
      </c>
      <c r="BC21" s="385">
        <f t="shared" si="17"/>
        <v>0</v>
      </c>
      <c r="BD21" s="386">
        <f t="shared" si="18"/>
        <v>0</v>
      </c>
      <c r="BE21" s="387">
        <f t="shared" si="19"/>
        <v>0</v>
      </c>
      <c r="BF21" s="385">
        <f t="shared" si="20"/>
        <v>0</v>
      </c>
      <c r="BG21" s="386">
        <f t="shared" si="21"/>
        <v>0</v>
      </c>
      <c r="BH21" s="387">
        <f t="shared" si="22"/>
        <v>0</v>
      </c>
      <c r="BI21" s="385">
        <f t="shared" si="23"/>
        <v>0</v>
      </c>
      <c r="BJ21" s="386">
        <f t="shared" si="24"/>
        <v>0</v>
      </c>
      <c r="BK21" s="387">
        <f t="shared" si="25"/>
        <v>0</v>
      </c>
      <c r="BL21" s="385">
        <f t="shared" si="26"/>
        <v>0</v>
      </c>
      <c r="BM21" s="386">
        <f t="shared" si="27"/>
        <v>0</v>
      </c>
      <c r="BN21" s="387">
        <f t="shared" si="28"/>
        <v>0</v>
      </c>
      <c r="BO21" s="385">
        <f t="shared" si="29"/>
        <v>0</v>
      </c>
      <c r="BP21" s="386">
        <f t="shared" si="30"/>
        <v>0</v>
      </c>
      <c r="BQ21" s="387">
        <f t="shared" si="31"/>
        <v>0</v>
      </c>
      <c r="BR21" s="385">
        <f t="shared" si="32"/>
        <v>0</v>
      </c>
      <c r="BS21" s="386">
        <f t="shared" si="33"/>
        <v>0</v>
      </c>
      <c r="BT21" s="387">
        <f t="shared" si="34"/>
        <v>0</v>
      </c>
      <c r="BU21" s="385">
        <f t="shared" si="35"/>
        <v>0</v>
      </c>
      <c r="BV21" s="386">
        <f t="shared" si="36"/>
        <v>0</v>
      </c>
      <c r="BW21" s="387">
        <f t="shared" si="37"/>
        <v>0</v>
      </c>
      <c r="BX21" s="385">
        <f t="shared" si="38"/>
        <v>0</v>
      </c>
      <c r="BY21" s="386">
        <f t="shared" si="39"/>
        <v>0</v>
      </c>
      <c r="BZ21" s="387">
        <f t="shared" si="40"/>
        <v>0</v>
      </c>
      <c r="CA21" s="385">
        <f t="shared" si="41"/>
        <v>0</v>
      </c>
      <c r="CB21" s="386">
        <f t="shared" si="42"/>
        <v>0</v>
      </c>
      <c r="CC21" s="387">
        <f t="shared" si="43"/>
        <v>0</v>
      </c>
      <c r="CD21" s="385">
        <f t="shared" si="44"/>
        <v>0</v>
      </c>
      <c r="CE21" s="386">
        <f t="shared" si="45"/>
        <v>0</v>
      </c>
      <c r="CF21" s="387">
        <f t="shared" si="46"/>
        <v>0</v>
      </c>
      <c r="CG21" s="385">
        <f t="shared" si="47"/>
        <v>0</v>
      </c>
      <c r="CH21" s="386">
        <f t="shared" si="48"/>
        <v>0</v>
      </c>
      <c r="CI21" s="387">
        <f t="shared" si="49"/>
        <v>0</v>
      </c>
      <c r="CJ21" s="385">
        <f t="shared" si="50"/>
        <v>0</v>
      </c>
      <c r="CK21" s="386">
        <f t="shared" si="51"/>
        <v>0</v>
      </c>
      <c r="CL21" s="387">
        <f t="shared" si="52"/>
        <v>0</v>
      </c>
      <c r="CM21" s="385">
        <f t="shared" si="53"/>
        <v>0</v>
      </c>
      <c r="CN21" s="386">
        <f t="shared" si="54"/>
        <v>0</v>
      </c>
      <c r="CO21" s="387">
        <f t="shared" si="55"/>
        <v>0</v>
      </c>
      <c r="CP21" s="385">
        <f t="shared" si="56"/>
        <v>0</v>
      </c>
      <c r="CQ21" s="386">
        <f t="shared" si="57"/>
        <v>0</v>
      </c>
      <c r="CR21" s="387">
        <f t="shared" si="58"/>
        <v>0</v>
      </c>
      <c r="CS21" s="385">
        <f t="shared" si="59"/>
        <v>0</v>
      </c>
      <c r="CT21" s="386">
        <f t="shared" si="60"/>
        <v>0</v>
      </c>
      <c r="CU21" s="387">
        <f t="shared" si="61"/>
        <v>0</v>
      </c>
      <c r="CV21" s="385">
        <f t="shared" si="62"/>
        <v>0</v>
      </c>
      <c r="CW21" s="386">
        <f t="shared" si="63"/>
        <v>0</v>
      </c>
      <c r="CX21" s="387">
        <f t="shared" si="64"/>
        <v>0</v>
      </c>
    </row>
    <row r="22" spans="1:102">
      <c r="A22" s="376" t="str">
        <f>'HSZ do groszy'!A22</f>
        <v>WFOŚiGW 309/2006/76/OZ/uk/P</v>
      </c>
      <c r="B22" s="389">
        <f>ROUNDUP('HSZ do groszy'!B22,0)</f>
        <v>548278</v>
      </c>
      <c r="C22" s="378">
        <f>ROUNDUP('HSZ do groszy'!C22,0)</f>
        <v>54824</v>
      </c>
      <c r="D22" s="379">
        <f>ROUNDUP('HSZ do groszy'!D22,0)</f>
        <v>12125</v>
      </c>
      <c r="E22" s="378">
        <f t="shared" si="8"/>
        <v>315238</v>
      </c>
      <c r="F22" s="379">
        <f t="shared" si="9"/>
        <v>28374</v>
      </c>
      <c r="G22" s="378">
        <f>ROUNDUP('HSZ do groszy'!G22,0)</f>
        <v>54824</v>
      </c>
      <c r="H22" s="379">
        <f>ROUNDUP('HSZ do groszy'!H22,0)</f>
        <v>8841</v>
      </c>
      <c r="I22" s="378">
        <f>ROUNDUP('HSZ do groszy'!I22,0)</f>
        <v>54824</v>
      </c>
      <c r="J22" s="379">
        <f>ROUNDUP('HSZ do groszy'!J22,0)</f>
        <v>7196</v>
      </c>
      <c r="K22" s="380">
        <f>ROUNDUP('HSZ do groszy'!K22,0)</f>
        <v>54824</v>
      </c>
      <c r="L22" s="381">
        <f>ROUNDUP('HSZ do groszy'!L22,0)</f>
        <v>5551</v>
      </c>
      <c r="M22" s="378">
        <f>ROUNDUP('HSZ do groszy'!M22,0)</f>
        <v>54824</v>
      </c>
      <c r="N22" s="379">
        <f>ROUNDUP('HSZ do groszy'!N22,0)</f>
        <v>3907</v>
      </c>
      <c r="O22" s="380">
        <f>ROUNDUP('HSZ do groszy'!O22,0)</f>
        <v>54824</v>
      </c>
      <c r="P22" s="381">
        <f>ROUNDUP('HSZ do groszy'!P22,0)</f>
        <v>2262</v>
      </c>
      <c r="Q22" s="378">
        <f>ROUNDUP('HSZ do groszy'!Q22,0)</f>
        <v>41118</v>
      </c>
      <c r="R22" s="379">
        <f>ROUNDUP('HSZ do groszy'!R22,0)</f>
        <v>617</v>
      </c>
      <c r="S22" s="380">
        <f>ROUNDUP('HSZ do groszy'!S22,0)</f>
        <v>0</v>
      </c>
      <c r="T22" s="381">
        <f>ROUNDUP('HSZ do groszy'!T22,0)</f>
        <v>0</v>
      </c>
      <c r="U22" s="378">
        <f>ROUNDUP('HSZ do groszy'!U22,0)</f>
        <v>0</v>
      </c>
      <c r="V22" s="379">
        <f>ROUNDUP('HSZ do groszy'!V22,0)</f>
        <v>0</v>
      </c>
      <c r="W22" s="380">
        <f>ROUNDUP('HSZ do groszy'!W22,0)</f>
        <v>0</v>
      </c>
      <c r="X22" s="381">
        <f>ROUNDUP('HSZ do groszy'!X22,0)</f>
        <v>0</v>
      </c>
      <c r="Y22" s="378">
        <f>ROUNDUP('HSZ do groszy'!Y22,0)</f>
        <v>0</v>
      </c>
      <c r="Z22" s="379">
        <f>ROUNDUP('HSZ do groszy'!Z22,0)</f>
        <v>0</v>
      </c>
      <c r="AA22" s="380">
        <f>ROUNDUP('HSZ do groszy'!AA22,0)</f>
        <v>0</v>
      </c>
      <c r="AB22" s="381">
        <f>ROUNDUP('HSZ do groszy'!AB22,0)</f>
        <v>0</v>
      </c>
      <c r="AC22" s="378">
        <f>ROUNDUP('HSZ do groszy'!AC22,0)</f>
        <v>0</v>
      </c>
      <c r="AD22" s="379">
        <f>ROUNDUP('HSZ do groszy'!AD22,0)</f>
        <v>0</v>
      </c>
      <c r="AE22" s="380">
        <f>ROUNDUP('HSZ do groszy'!AE22,0)</f>
        <v>0</v>
      </c>
      <c r="AF22" s="379">
        <f>ROUNDUP('HSZ do groszy'!AF22,0)</f>
        <v>0</v>
      </c>
      <c r="AG22" s="380">
        <f>ROUNDUP('HSZ do groszy'!AG22,0)</f>
        <v>0</v>
      </c>
      <c r="AH22" s="382">
        <f>ROUNDUP('HSZ do groszy'!AH22,0)</f>
        <v>0</v>
      </c>
      <c r="AI22" s="380">
        <f>ROUNDUP('HSZ do groszy'!AI22,0)</f>
        <v>0</v>
      </c>
      <c r="AJ22" s="382">
        <f>ROUNDUP('HSZ do groszy'!AJ22,0)</f>
        <v>0</v>
      </c>
      <c r="AK22" s="380">
        <f>ROUNDUP('HSZ do groszy'!AK22,0)</f>
        <v>0</v>
      </c>
      <c r="AL22" s="382">
        <f>ROUNDUP('HSZ do groszy'!AL22,0)</f>
        <v>0</v>
      </c>
      <c r="AM22" s="380">
        <f>ROUNDUP('HSZ do groszy'!AM22,0)</f>
        <v>0</v>
      </c>
      <c r="AN22" s="382">
        <f>ROUNDUP('HSZ do groszy'!AN22,0)</f>
        <v>0</v>
      </c>
      <c r="AO22" s="380">
        <f>ROUNDUP('HSZ do groszy'!AO22,0)</f>
        <v>0</v>
      </c>
      <c r="AP22" s="382">
        <f>ROUNDUP('HSZ do groszy'!AP22,0)</f>
        <v>0</v>
      </c>
      <c r="AQ22" s="380">
        <f>ROUNDUP('HSZ do groszy'!AQ22,0)</f>
        <v>0</v>
      </c>
      <c r="AR22" s="382">
        <f>ROUNDUP('HSZ do groszy'!AR22,0)</f>
        <v>0</v>
      </c>
      <c r="AS22" s="193"/>
      <c r="AT22" s="193"/>
      <c r="AU22" s="383" t="str">
        <f t="shared" si="10"/>
        <v>WFOŚiGW 309/2006/76/OZ/uk/P</v>
      </c>
      <c r="AV22" s="384">
        <f t="shared" si="10"/>
        <v>548278</v>
      </c>
      <c r="AW22" s="385">
        <f t="shared" si="11"/>
        <v>260414</v>
      </c>
      <c r="AX22" s="386">
        <f t="shared" si="12"/>
        <v>19533</v>
      </c>
      <c r="AY22" s="387">
        <f t="shared" si="13"/>
        <v>279947</v>
      </c>
      <c r="AZ22" s="385">
        <f t="shared" si="14"/>
        <v>205590</v>
      </c>
      <c r="BA22" s="386">
        <f t="shared" si="15"/>
        <v>12337</v>
      </c>
      <c r="BB22" s="387">
        <f t="shared" si="16"/>
        <v>217927</v>
      </c>
      <c r="BC22" s="385">
        <f t="shared" si="17"/>
        <v>150766</v>
      </c>
      <c r="BD22" s="386">
        <f t="shared" si="18"/>
        <v>6786</v>
      </c>
      <c r="BE22" s="387">
        <f t="shared" si="19"/>
        <v>157552</v>
      </c>
      <c r="BF22" s="385">
        <f t="shared" si="20"/>
        <v>95942</v>
      </c>
      <c r="BG22" s="386">
        <f t="shared" si="21"/>
        <v>2879</v>
      </c>
      <c r="BH22" s="387">
        <f t="shared" si="22"/>
        <v>98821</v>
      </c>
      <c r="BI22" s="385">
        <f t="shared" si="23"/>
        <v>41118</v>
      </c>
      <c r="BJ22" s="386">
        <f t="shared" si="24"/>
        <v>617</v>
      </c>
      <c r="BK22" s="387">
        <f t="shared" si="25"/>
        <v>41735</v>
      </c>
      <c r="BL22" s="385">
        <f t="shared" si="26"/>
        <v>0</v>
      </c>
      <c r="BM22" s="386">
        <f t="shared" si="27"/>
        <v>0</v>
      </c>
      <c r="BN22" s="387">
        <f t="shared" si="28"/>
        <v>0</v>
      </c>
      <c r="BO22" s="385">
        <f t="shared" si="29"/>
        <v>0</v>
      </c>
      <c r="BP22" s="386">
        <f t="shared" si="30"/>
        <v>0</v>
      </c>
      <c r="BQ22" s="387">
        <f t="shared" si="31"/>
        <v>0</v>
      </c>
      <c r="BR22" s="385">
        <f t="shared" si="32"/>
        <v>0</v>
      </c>
      <c r="BS22" s="386">
        <f t="shared" si="33"/>
        <v>0</v>
      </c>
      <c r="BT22" s="387">
        <f t="shared" si="34"/>
        <v>0</v>
      </c>
      <c r="BU22" s="385">
        <f t="shared" si="35"/>
        <v>0</v>
      </c>
      <c r="BV22" s="386">
        <f t="shared" si="36"/>
        <v>0</v>
      </c>
      <c r="BW22" s="387">
        <f t="shared" si="37"/>
        <v>0</v>
      </c>
      <c r="BX22" s="385">
        <f t="shared" si="38"/>
        <v>0</v>
      </c>
      <c r="BY22" s="386">
        <f t="shared" si="39"/>
        <v>0</v>
      </c>
      <c r="BZ22" s="387">
        <f t="shared" si="40"/>
        <v>0</v>
      </c>
      <c r="CA22" s="385">
        <f t="shared" si="41"/>
        <v>0</v>
      </c>
      <c r="CB22" s="386">
        <f t="shared" si="42"/>
        <v>0</v>
      </c>
      <c r="CC22" s="387">
        <f t="shared" si="43"/>
        <v>0</v>
      </c>
      <c r="CD22" s="385">
        <f t="shared" si="44"/>
        <v>0</v>
      </c>
      <c r="CE22" s="386">
        <f t="shared" si="45"/>
        <v>0</v>
      </c>
      <c r="CF22" s="387">
        <f t="shared" si="46"/>
        <v>0</v>
      </c>
      <c r="CG22" s="385">
        <f t="shared" si="47"/>
        <v>0</v>
      </c>
      <c r="CH22" s="386">
        <f t="shared" si="48"/>
        <v>0</v>
      </c>
      <c r="CI22" s="387">
        <f t="shared" si="49"/>
        <v>0</v>
      </c>
      <c r="CJ22" s="385">
        <f t="shared" si="50"/>
        <v>0</v>
      </c>
      <c r="CK22" s="386">
        <f t="shared" si="51"/>
        <v>0</v>
      </c>
      <c r="CL22" s="387">
        <f t="shared" si="52"/>
        <v>0</v>
      </c>
      <c r="CM22" s="385">
        <f t="shared" si="53"/>
        <v>0</v>
      </c>
      <c r="CN22" s="386">
        <f t="shared" si="54"/>
        <v>0</v>
      </c>
      <c r="CO22" s="387">
        <f t="shared" si="55"/>
        <v>0</v>
      </c>
      <c r="CP22" s="385">
        <f t="shared" si="56"/>
        <v>0</v>
      </c>
      <c r="CQ22" s="386">
        <f t="shared" si="57"/>
        <v>0</v>
      </c>
      <c r="CR22" s="387">
        <f t="shared" si="58"/>
        <v>0</v>
      </c>
      <c r="CS22" s="385">
        <f t="shared" si="59"/>
        <v>0</v>
      </c>
      <c r="CT22" s="386">
        <f t="shared" si="60"/>
        <v>0</v>
      </c>
      <c r="CU22" s="387">
        <f t="shared" si="61"/>
        <v>0</v>
      </c>
      <c r="CV22" s="385">
        <f t="shared" si="62"/>
        <v>0</v>
      </c>
      <c r="CW22" s="386">
        <f t="shared" si="63"/>
        <v>0</v>
      </c>
      <c r="CX22" s="387">
        <f t="shared" si="64"/>
        <v>0</v>
      </c>
    </row>
    <row r="23" spans="1:102">
      <c r="A23" s="376" t="str">
        <f>'HSZ do groszy'!A23</f>
        <v>WFOŚiGW 315/2007/76/OA/no/P</v>
      </c>
      <c r="B23" s="389">
        <f>ROUNDUP('HSZ do groszy'!B23,0)</f>
        <v>222896</v>
      </c>
      <c r="C23" s="378">
        <f>ROUNDUP('HSZ do groszy'!C23,0)</f>
        <v>23480</v>
      </c>
      <c r="D23" s="379">
        <f>ROUNDUP('HSZ do groszy'!D23,0)</f>
        <v>5870</v>
      </c>
      <c r="E23" s="378">
        <f t="shared" si="8"/>
        <v>158326</v>
      </c>
      <c r="F23" s="379">
        <f t="shared" si="9"/>
        <v>16480</v>
      </c>
      <c r="G23" s="378">
        <f>ROUNDUP('HSZ do groszy'!G23,0)</f>
        <v>23480</v>
      </c>
      <c r="H23" s="379">
        <f>ROUNDUP('HSZ do groszy'!H23,0)</f>
        <v>4467</v>
      </c>
      <c r="I23" s="378">
        <f>ROUNDUP('HSZ do groszy'!I23,0)</f>
        <v>23480</v>
      </c>
      <c r="J23" s="379">
        <f>ROUNDUP('HSZ do groszy'!J23,0)</f>
        <v>3762</v>
      </c>
      <c r="K23" s="380">
        <f>ROUNDUP('HSZ do groszy'!K23,0)</f>
        <v>23480</v>
      </c>
      <c r="L23" s="381">
        <f>ROUNDUP('HSZ do groszy'!L23,0)</f>
        <v>3058</v>
      </c>
      <c r="M23" s="378">
        <f>ROUNDUP('HSZ do groszy'!M23,0)</f>
        <v>23480</v>
      </c>
      <c r="N23" s="379">
        <f>ROUNDUP('HSZ do groszy'!N23,0)</f>
        <v>2353</v>
      </c>
      <c r="O23" s="380">
        <f>ROUNDUP('HSZ do groszy'!O23,0)</f>
        <v>23480</v>
      </c>
      <c r="P23" s="381">
        <f>ROUNDUP('HSZ do groszy'!P23,0)</f>
        <v>1649</v>
      </c>
      <c r="Q23" s="378">
        <f>ROUNDUP('HSZ do groszy'!Q23,0)</f>
        <v>23480</v>
      </c>
      <c r="R23" s="379">
        <f>ROUNDUP('HSZ do groszy'!R23,0)</f>
        <v>945</v>
      </c>
      <c r="S23" s="380">
        <f>ROUNDUP('HSZ do groszy'!S23,0)</f>
        <v>17446</v>
      </c>
      <c r="T23" s="381">
        <f>ROUNDUP('HSZ do groszy'!T23,0)</f>
        <v>246</v>
      </c>
      <c r="U23" s="378">
        <f>ROUNDUP('HSZ do groszy'!U23,0)</f>
        <v>0</v>
      </c>
      <c r="V23" s="379">
        <f>ROUNDUP('HSZ do groszy'!V23,0)</f>
        <v>0</v>
      </c>
      <c r="W23" s="380">
        <f>ROUNDUP('HSZ do groszy'!W23,0)</f>
        <v>0</v>
      </c>
      <c r="X23" s="381">
        <f>ROUNDUP('HSZ do groszy'!X23,0)</f>
        <v>0</v>
      </c>
      <c r="Y23" s="378">
        <f>ROUNDUP('HSZ do groszy'!Y23,0)</f>
        <v>0</v>
      </c>
      <c r="Z23" s="379">
        <f>ROUNDUP('HSZ do groszy'!Z23,0)</f>
        <v>0</v>
      </c>
      <c r="AA23" s="380">
        <f>ROUNDUP('HSZ do groszy'!AA23,0)</f>
        <v>0</v>
      </c>
      <c r="AB23" s="381">
        <f>ROUNDUP('HSZ do groszy'!AB23,0)</f>
        <v>0</v>
      </c>
      <c r="AC23" s="378">
        <f>ROUNDUP('HSZ do groszy'!AC23,0)</f>
        <v>0</v>
      </c>
      <c r="AD23" s="379">
        <f>ROUNDUP('HSZ do groszy'!AD23,0)</f>
        <v>0</v>
      </c>
      <c r="AE23" s="380">
        <f>ROUNDUP('HSZ do groszy'!AE23,0)</f>
        <v>0</v>
      </c>
      <c r="AF23" s="379">
        <f>ROUNDUP('HSZ do groszy'!AF23,0)</f>
        <v>0</v>
      </c>
      <c r="AG23" s="380">
        <f>ROUNDUP('HSZ do groszy'!AG23,0)</f>
        <v>0</v>
      </c>
      <c r="AH23" s="382">
        <f>ROUNDUP('HSZ do groszy'!AH23,0)</f>
        <v>0</v>
      </c>
      <c r="AI23" s="380">
        <f>ROUNDUP('HSZ do groszy'!AI23,0)</f>
        <v>0</v>
      </c>
      <c r="AJ23" s="382">
        <f>ROUNDUP('HSZ do groszy'!AJ23,0)</f>
        <v>0</v>
      </c>
      <c r="AK23" s="380">
        <f>ROUNDUP('HSZ do groszy'!AK23,0)</f>
        <v>0</v>
      </c>
      <c r="AL23" s="382">
        <f>ROUNDUP('HSZ do groszy'!AL23,0)</f>
        <v>0</v>
      </c>
      <c r="AM23" s="380">
        <f>ROUNDUP('HSZ do groszy'!AM23,0)</f>
        <v>0</v>
      </c>
      <c r="AN23" s="382">
        <f>ROUNDUP('HSZ do groszy'!AN23,0)</f>
        <v>0</v>
      </c>
      <c r="AO23" s="380">
        <f>ROUNDUP('HSZ do groszy'!AO23,0)</f>
        <v>0</v>
      </c>
      <c r="AP23" s="382">
        <f>ROUNDUP('HSZ do groszy'!AP23,0)</f>
        <v>0</v>
      </c>
      <c r="AQ23" s="380">
        <f>ROUNDUP('HSZ do groszy'!AQ23,0)</f>
        <v>0</v>
      </c>
      <c r="AR23" s="382">
        <f>ROUNDUP('HSZ do groszy'!AR23,0)</f>
        <v>0</v>
      </c>
      <c r="AS23" s="193"/>
      <c r="AT23" s="193"/>
      <c r="AU23" s="383" t="str">
        <f t="shared" si="10"/>
        <v>WFOŚiGW 315/2007/76/OA/no/P</v>
      </c>
      <c r="AV23" s="384">
        <f t="shared" si="10"/>
        <v>222896</v>
      </c>
      <c r="AW23" s="385">
        <f t="shared" si="11"/>
        <v>134846</v>
      </c>
      <c r="AX23" s="386">
        <f t="shared" si="12"/>
        <v>12013</v>
      </c>
      <c r="AY23" s="387">
        <f t="shared" si="13"/>
        <v>146859</v>
      </c>
      <c r="AZ23" s="385">
        <f t="shared" si="14"/>
        <v>111366</v>
      </c>
      <c r="BA23" s="386">
        <f t="shared" si="15"/>
        <v>8251</v>
      </c>
      <c r="BB23" s="387">
        <f t="shared" si="16"/>
        <v>119617</v>
      </c>
      <c r="BC23" s="385">
        <f t="shared" si="17"/>
        <v>87886</v>
      </c>
      <c r="BD23" s="386">
        <f t="shared" si="18"/>
        <v>5193</v>
      </c>
      <c r="BE23" s="387">
        <f t="shared" si="19"/>
        <v>93079</v>
      </c>
      <c r="BF23" s="385">
        <f t="shared" si="20"/>
        <v>64406</v>
      </c>
      <c r="BG23" s="386">
        <f t="shared" si="21"/>
        <v>2840</v>
      </c>
      <c r="BH23" s="387">
        <f t="shared" si="22"/>
        <v>67246</v>
      </c>
      <c r="BI23" s="385">
        <f t="shared" si="23"/>
        <v>40926</v>
      </c>
      <c r="BJ23" s="386">
        <f t="shared" si="24"/>
        <v>1191</v>
      </c>
      <c r="BK23" s="387">
        <f t="shared" si="25"/>
        <v>42117</v>
      </c>
      <c r="BL23" s="385">
        <f t="shared" si="26"/>
        <v>17446</v>
      </c>
      <c r="BM23" s="386">
        <f t="shared" si="27"/>
        <v>246</v>
      </c>
      <c r="BN23" s="387">
        <f t="shared" si="28"/>
        <v>17692</v>
      </c>
      <c r="BO23" s="385">
        <f t="shared" si="29"/>
        <v>0</v>
      </c>
      <c r="BP23" s="386">
        <f t="shared" si="30"/>
        <v>0</v>
      </c>
      <c r="BQ23" s="387">
        <f t="shared" si="31"/>
        <v>0</v>
      </c>
      <c r="BR23" s="385">
        <f t="shared" si="32"/>
        <v>0</v>
      </c>
      <c r="BS23" s="386">
        <f t="shared" si="33"/>
        <v>0</v>
      </c>
      <c r="BT23" s="387">
        <f t="shared" si="34"/>
        <v>0</v>
      </c>
      <c r="BU23" s="385">
        <f t="shared" si="35"/>
        <v>0</v>
      </c>
      <c r="BV23" s="386">
        <f t="shared" si="36"/>
        <v>0</v>
      </c>
      <c r="BW23" s="387">
        <f t="shared" si="37"/>
        <v>0</v>
      </c>
      <c r="BX23" s="385">
        <f t="shared" si="38"/>
        <v>0</v>
      </c>
      <c r="BY23" s="386">
        <f t="shared" si="39"/>
        <v>0</v>
      </c>
      <c r="BZ23" s="387">
        <f t="shared" si="40"/>
        <v>0</v>
      </c>
      <c r="CA23" s="385">
        <f t="shared" si="41"/>
        <v>0</v>
      </c>
      <c r="CB23" s="386">
        <f t="shared" si="42"/>
        <v>0</v>
      </c>
      <c r="CC23" s="387">
        <f t="shared" si="43"/>
        <v>0</v>
      </c>
      <c r="CD23" s="385">
        <f t="shared" si="44"/>
        <v>0</v>
      </c>
      <c r="CE23" s="386">
        <f t="shared" si="45"/>
        <v>0</v>
      </c>
      <c r="CF23" s="387">
        <f t="shared" si="46"/>
        <v>0</v>
      </c>
      <c r="CG23" s="385">
        <f t="shared" si="47"/>
        <v>0</v>
      </c>
      <c r="CH23" s="386">
        <f t="shared" si="48"/>
        <v>0</v>
      </c>
      <c r="CI23" s="387">
        <f t="shared" si="49"/>
        <v>0</v>
      </c>
      <c r="CJ23" s="385">
        <f t="shared" si="50"/>
        <v>0</v>
      </c>
      <c r="CK23" s="386">
        <f t="shared" si="51"/>
        <v>0</v>
      </c>
      <c r="CL23" s="387">
        <f t="shared" si="52"/>
        <v>0</v>
      </c>
      <c r="CM23" s="385">
        <f t="shared" si="53"/>
        <v>0</v>
      </c>
      <c r="CN23" s="386">
        <f t="shared" si="54"/>
        <v>0</v>
      </c>
      <c r="CO23" s="387">
        <f t="shared" si="55"/>
        <v>0</v>
      </c>
      <c r="CP23" s="385">
        <f t="shared" si="56"/>
        <v>0</v>
      </c>
      <c r="CQ23" s="386">
        <f t="shared" si="57"/>
        <v>0</v>
      </c>
      <c r="CR23" s="387">
        <f t="shared" si="58"/>
        <v>0</v>
      </c>
      <c r="CS23" s="385">
        <f t="shared" si="59"/>
        <v>0</v>
      </c>
      <c r="CT23" s="386">
        <f t="shared" si="60"/>
        <v>0</v>
      </c>
      <c r="CU23" s="387">
        <f t="shared" si="61"/>
        <v>0</v>
      </c>
      <c r="CV23" s="385">
        <f t="shared" si="62"/>
        <v>0</v>
      </c>
      <c r="CW23" s="386">
        <f t="shared" si="63"/>
        <v>0</v>
      </c>
      <c r="CX23" s="387">
        <f t="shared" si="64"/>
        <v>0</v>
      </c>
    </row>
    <row r="24" spans="1:102">
      <c r="A24" s="376" t="str">
        <f>'HSZ do groszy'!A24</f>
        <v>WFOŚiGW 1302/2006/76/OA/po/P</v>
      </c>
      <c r="B24" s="377">
        <f>ROUNDUP('HSZ do groszy'!B24,0)</f>
        <v>141744</v>
      </c>
      <c r="C24" s="378">
        <f>ROUNDUP('HSZ do groszy'!C24,0)</f>
        <v>0</v>
      </c>
      <c r="D24" s="379">
        <f>ROUNDUP('HSZ do groszy'!D24,0)</f>
        <v>4253</v>
      </c>
      <c r="E24" s="378">
        <f t="shared" si="8"/>
        <v>141745</v>
      </c>
      <c r="F24" s="379">
        <f t="shared" si="9"/>
        <v>11325</v>
      </c>
      <c r="G24" s="378">
        <f>ROUNDUP('HSZ do groszy'!G24,0)</f>
        <v>0</v>
      </c>
      <c r="H24" s="379">
        <f>ROUNDUP('HSZ do groszy'!H24,0)</f>
        <v>4253</v>
      </c>
      <c r="I24" s="378">
        <f>ROUNDUP('HSZ do groszy'!I24,0)</f>
        <v>0</v>
      </c>
      <c r="J24" s="379">
        <f>ROUNDUP('HSZ do groszy'!J24,0)</f>
        <v>4253</v>
      </c>
      <c r="K24" s="380">
        <f>ROUNDUP('HSZ do groszy'!K24,0)</f>
        <v>140343</v>
      </c>
      <c r="L24" s="381">
        <f>ROUNDUP('HSZ do groszy'!L24,0)</f>
        <v>2809</v>
      </c>
      <c r="M24" s="378">
        <f>ROUNDUP('HSZ do groszy'!M24,0)</f>
        <v>1402</v>
      </c>
      <c r="N24" s="379">
        <f>ROUNDUP('HSZ do groszy'!N24,0)</f>
        <v>10</v>
      </c>
      <c r="O24" s="380">
        <f>ROUNDUP('HSZ do groszy'!O24,0)</f>
        <v>0</v>
      </c>
      <c r="P24" s="381">
        <f>ROUNDUP('HSZ do groszy'!P24,0)</f>
        <v>0</v>
      </c>
      <c r="Q24" s="378">
        <f>ROUNDUP('HSZ do groszy'!Q24,0)</f>
        <v>0</v>
      </c>
      <c r="R24" s="379">
        <f>ROUNDUP('HSZ do groszy'!R24,0)</f>
        <v>0</v>
      </c>
      <c r="S24" s="380">
        <f>ROUNDUP('HSZ do groszy'!S24,0)</f>
        <v>0</v>
      </c>
      <c r="T24" s="381">
        <f>ROUNDUP('HSZ do groszy'!T24,0)</f>
        <v>0</v>
      </c>
      <c r="U24" s="378">
        <f>ROUNDUP('HSZ do groszy'!U24,0)</f>
        <v>0</v>
      </c>
      <c r="V24" s="379">
        <f>ROUNDUP('HSZ do groszy'!V24,0)</f>
        <v>0</v>
      </c>
      <c r="W24" s="380">
        <f>ROUNDUP('HSZ do groszy'!W24,0)</f>
        <v>0</v>
      </c>
      <c r="X24" s="381">
        <f>ROUNDUP('HSZ do groszy'!X24,0)</f>
        <v>0</v>
      </c>
      <c r="Y24" s="378">
        <f>ROUNDUP('HSZ do groszy'!Y24,0)</f>
        <v>0</v>
      </c>
      <c r="Z24" s="379">
        <f>ROUNDUP('HSZ do groszy'!Z24,0)</f>
        <v>0</v>
      </c>
      <c r="AA24" s="380">
        <f>ROUNDUP('HSZ do groszy'!AA24,0)</f>
        <v>0</v>
      </c>
      <c r="AB24" s="381">
        <f>ROUNDUP('HSZ do groszy'!AB24,0)</f>
        <v>0</v>
      </c>
      <c r="AC24" s="378">
        <f>ROUNDUP('HSZ do groszy'!AC24,0)</f>
        <v>0</v>
      </c>
      <c r="AD24" s="379">
        <f>ROUNDUP('HSZ do groszy'!AD24,0)</f>
        <v>0</v>
      </c>
      <c r="AE24" s="380">
        <f>ROUNDUP('HSZ do groszy'!AE24,0)</f>
        <v>0</v>
      </c>
      <c r="AF24" s="379">
        <f>ROUNDUP('HSZ do groszy'!AF24,0)</f>
        <v>0</v>
      </c>
      <c r="AG24" s="380">
        <f>ROUNDUP('HSZ do groszy'!AG24,0)</f>
        <v>0</v>
      </c>
      <c r="AH24" s="382">
        <f>ROUNDUP('HSZ do groszy'!AH24,0)</f>
        <v>0</v>
      </c>
      <c r="AI24" s="380">
        <f>ROUNDUP('HSZ do groszy'!AI24,0)</f>
        <v>0</v>
      </c>
      <c r="AJ24" s="382">
        <f>ROUNDUP('HSZ do groszy'!AJ24,0)</f>
        <v>0</v>
      </c>
      <c r="AK24" s="380">
        <f>ROUNDUP('HSZ do groszy'!AK24,0)</f>
        <v>0</v>
      </c>
      <c r="AL24" s="382">
        <f>ROUNDUP('HSZ do groszy'!AL24,0)</f>
        <v>0</v>
      </c>
      <c r="AM24" s="380">
        <f>ROUNDUP('HSZ do groszy'!AM24,0)</f>
        <v>0</v>
      </c>
      <c r="AN24" s="382">
        <f>ROUNDUP('HSZ do groszy'!AN24,0)</f>
        <v>0</v>
      </c>
      <c r="AO24" s="380">
        <f>ROUNDUP('HSZ do groszy'!AO24,0)</f>
        <v>0</v>
      </c>
      <c r="AP24" s="382">
        <f>ROUNDUP('HSZ do groszy'!AP24,0)</f>
        <v>0</v>
      </c>
      <c r="AQ24" s="380">
        <f>ROUNDUP('HSZ do groszy'!AQ24,0)</f>
        <v>0</v>
      </c>
      <c r="AR24" s="382">
        <f>ROUNDUP('HSZ do groszy'!AR24,0)</f>
        <v>0</v>
      </c>
      <c r="AS24" s="193"/>
      <c r="AT24" s="193"/>
      <c r="AU24" s="383" t="str">
        <f t="shared" si="10"/>
        <v>WFOŚiGW 1302/2006/76/OA/po/P</v>
      </c>
      <c r="AV24" s="384">
        <f t="shared" si="10"/>
        <v>141744</v>
      </c>
      <c r="AW24" s="385">
        <f t="shared" si="11"/>
        <v>141745</v>
      </c>
      <c r="AX24" s="386">
        <f t="shared" si="12"/>
        <v>7072</v>
      </c>
      <c r="AY24" s="387">
        <f t="shared" si="13"/>
        <v>148817</v>
      </c>
      <c r="AZ24" s="385">
        <f t="shared" si="14"/>
        <v>141745</v>
      </c>
      <c r="BA24" s="386">
        <f t="shared" si="15"/>
        <v>2819</v>
      </c>
      <c r="BB24" s="387">
        <f t="shared" si="16"/>
        <v>144564</v>
      </c>
      <c r="BC24" s="385">
        <f t="shared" si="17"/>
        <v>1402</v>
      </c>
      <c r="BD24" s="386">
        <f t="shared" si="18"/>
        <v>10</v>
      </c>
      <c r="BE24" s="387">
        <f t="shared" si="19"/>
        <v>1412</v>
      </c>
      <c r="BF24" s="385">
        <f t="shared" si="20"/>
        <v>0</v>
      </c>
      <c r="BG24" s="386">
        <f t="shared" si="21"/>
        <v>0</v>
      </c>
      <c r="BH24" s="387">
        <f t="shared" si="22"/>
        <v>0</v>
      </c>
      <c r="BI24" s="385">
        <f t="shared" si="23"/>
        <v>0</v>
      </c>
      <c r="BJ24" s="386">
        <f t="shared" si="24"/>
        <v>0</v>
      </c>
      <c r="BK24" s="387">
        <f t="shared" si="25"/>
        <v>0</v>
      </c>
      <c r="BL24" s="385">
        <f t="shared" si="26"/>
        <v>0</v>
      </c>
      <c r="BM24" s="386">
        <f t="shared" si="27"/>
        <v>0</v>
      </c>
      <c r="BN24" s="387">
        <f t="shared" si="28"/>
        <v>0</v>
      </c>
      <c r="BO24" s="385">
        <f t="shared" si="29"/>
        <v>0</v>
      </c>
      <c r="BP24" s="386">
        <f t="shared" si="30"/>
        <v>0</v>
      </c>
      <c r="BQ24" s="387">
        <f t="shared" si="31"/>
        <v>0</v>
      </c>
      <c r="BR24" s="385">
        <f t="shared" si="32"/>
        <v>0</v>
      </c>
      <c r="BS24" s="386">
        <f t="shared" si="33"/>
        <v>0</v>
      </c>
      <c r="BT24" s="387">
        <f t="shared" si="34"/>
        <v>0</v>
      </c>
      <c r="BU24" s="385">
        <f t="shared" si="35"/>
        <v>0</v>
      </c>
      <c r="BV24" s="386">
        <f t="shared" si="36"/>
        <v>0</v>
      </c>
      <c r="BW24" s="387">
        <f t="shared" si="37"/>
        <v>0</v>
      </c>
      <c r="BX24" s="385">
        <f t="shared" si="38"/>
        <v>0</v>
      </c>
      <c r="BY24" s="386">
        <f t="shared" si="39"/>
        <v>0</v>
      </c>
      <c r="BZ24" s="387">
        <f t="shared" si="40"/>
        <v>0</v>
      </c>
      <c r="CA24" s="385">
        <f t="shared" si="41"/>
        <v>0</v>
      </c>
      <c r="CB24" s="386">
        <f t="shared" si="42"/>
        <v>0</v>
      </c>
      <c r="CC24" s="387">
        <f t="shared" si="43"/>
        <v>0</v>
      </c>
      <c r="CD24" s="385">
        <f t="shared" si="44"/>
        <v>0</v>
      </c>
      <c r="CE24" s="386">
        <f t="shared" si="45"/>
        <v>0</v>
      </c>
      <c r="CF24" s="387">
        <f t="shared" si="46"/>
        <v>0</v>
      </c>
      <c r="CG24" s="385">
        <f t="shared" si="47"/>
        <v>0</v>
      </c>
      <c r="CH24" s="386">
        <f t="shared" si="48"/>
        <v>0</v>
      </c>
      <c r="CI24" s="387">
        <f t="shared" si="49"/>
        <v>0</v>
      </c>
      <c r="CJ24" s="385">
        <f t="shared" si="50"/>
        <v>0</v>
      </c>
      <c r="CK24" s="386">
        <f t="shared" si="51"/>
        <v>0</v>
      </c>
      <c r="CL24" s="387">
        <f t="shared" si="52"/>
        <v>0</v>
      </c>
      <c r="CM24" s="385">
        <f t="shared" si="53"/>
        <v>0</v>
      </c>
      <c r="CN24" s="386">
        <f t="shared" si="54"/>
        <v>0</v>
      </c>
      <c r="CO24" s="387">
        <f t="shared" si="55"/>
        <v>0</v>
      </c>
      <c r="CP24" s="385">
        <f t="shared" si="56"/>
        <v>0</v>
      </c>
      <c r="CQ24" s="386">
        <f t="shared" si="57"/>
        <v>0</v>
      </c>
      <c r="CR24" s="387">
        <f t="shared" si="58"/>
        <v>0</v>
      </c>
      <c r="CS24" s="385">
        <f t="shared" si="59"/>
        <v>0</v>
      </c>
      <c r="CT24" s="386">
        <f t="shared" si="60"/>
        <v>0</v>
      </c>
      <c r="CU24" s="387">
        <f t="shared" si="61"/>
        <v>0</v>
      </c>
      <c r="CV24" s="385">
        <f t="shared" si="62"/>
        <v>0</v>
      </c>
      <c r="CW24" s="386">
        <f t="shared" si="63"/>
        <v>0</v>
      </c>
      <c r="CX24" s="387">
        <f t="shared" si="64"/>
        <v>0</v>
      </c>
    </row>
    <row r="25" spans="1:102">
      <c r="A25" s="376" t="str">
        <f>'HSZ do groszy'!A25</f>
        <v xml:space="preserve"> -</v>
      </c>
      <c r="B25" s="389"/>
      <c r="C25" s="378"/>
      <c r="D25" s="379"/>
      <c r="E25" s="378"/>
      <c r="F25" s="379"/>
      <c r="G25" s="378"/>
      <c r="H25" s="379"/>
      <c r="I25" s="378"/>
      <c r="J25" s="379"/>
      <c r="K25" s="380"/>
      <c r="L25" s="381"/>
      <c r="M25" s="378"/>
      <c r="N25" s="379"/>
      <c r="O25" s="380"/>
      <c r="P25" s="381"/>
      <c r="Q25" s="378"/>
      <c r="R25" s="379"/>
      <c r="S25" s="380"/>
      <c r="T25" s="381"/>
      <c r="U25" s="378"/>
      <c r="V25" s="379"/>
      <c r="W25" s="380"/>
      <c r="X25" s="381"/>
      <c r="Y25" s="378"/>
      <c r="Z25" s="379"/>
      <c r="AA25" s="380"/>
      <c r="AB25" s="381"/>
      <c r="AC25" s="378"/>
      <c r="AD25" s="379"/>
      <c r="AE25" s="380"/>
      <c r="AF25" s="379"/>
      <c r="AG25" s="380"/>
      <c r="AH25" s="382"/>
      <c r="AI25" s="380"/>
      <c r="AJ25" s="382"/>
      <c r="AK25" s="380"/>
      <c r="AL25" s="382"/>
      <c r="AM25" s="380"/>
      <c r="AN25" s="382"/>
      <c r="AO25" s="380"/>
      <c r="AP25" s="382"/>
      <c r="AQ25" s="380"/>
      <c r="AR25" s="382"/>
      <c r="AS25" s="193"/>
      <c r="AT25" s="193"/>
      <c r="AU25" s="383" t="str">
        <f t="shared" si="10"/>
        <v xml:space="preserve"> -</v>
      </c>
      <c r="AV25" s="384">
        <f t="shared" si="10"/>
        <v>0</v>
      </c>
      <c r="AW25" s="385">
        <f t="shared" si="11"/>
        <v>0</v>
      </c>
      <c r="AX25" s="386">
        <f t="shared" si="12"/>
        <v>0</v>
      </c>
      <c r="AY25" s="387">
        <f t="shared" si="13"/>
        <v>0</v>
      </c>
      <c r="AZ25" s="385">
        <f t="shared" si="14"/>
        <v>0</v>
      </c>
      <c r="BA25" s="386">
        <f t="shared" si="15"/>
        <v>0</v>
      </c>
      <c r="BB25" s="387">
        <f t="shared" si="16"/>
        <v>0</v>
      </c>
      <c r="BC25" s="385">
        <f t="shared" si="17"/>
        <v>0</v>
      </c>
      <c r="BD25" s="386">
        <f t="shared" si="18"/>
        <v>0</v>
      </c>
      <c r="BE25" s="387">
        <f t="shared" si="19"/>
        <v>0</v>
      </c>
      <c r="BF25" s="385">
        <f t="shared" si="20"/>
        <v>0</v>
      </c>
      <c r="BG25" s="386">
        <f t="shared" si="21"/>
        <v>0</v>
      </c>
      <c r="BH25" s="387">
        <f t="shared" si="22"/>
        <v>0</v>
      </c>
      <c r="BI25" s="385">
        <f t="shared" si="23"/>
        <v>0</v>
      </c>
      <c r="BJ25" s="386">
        <f t="shared" si="24"/>
        <v>0</v>
      </c>
      <c r="BK25" s="387">
        <f t="shared" si="25"/>
        <v>0</v>
      </c>
      <c r="BL25" s="385">
        <f t="shared" si="26"/>
        <v>0</v>
      </c>
      <c r="BM25" s="386">
        <f t="shared" si="27"/>
        <v>0</v>
      </c>
      <c r="BN25" s="387">
        <f t="shared" si="28"/>
        <v>0</v>
      </c>
      <c r="BO25" s="385">
        <f t="shared" si="29"/>
        <v>0</v>
      </c>
      <c r="BP25" s="386">
        <f t="shared" si="30"/>
        <v>0</v>
      </c>
      <c r="BQ25" s="387">
        <f t="shared" si="31"/>
        <v>0</v>
      </c>
      <c r="BR25" s="385">
        <f t="shared" si="32"/>
        <v>0</v>
      </c>
      <c r="BS25" s="386">
        <f t="shared" si="33"/>
        <v>0</v>
      </c>
      <c r="BT25" s="387">
        <f t="shared" si="34"/>
        <v>0</v>
      </c>
      <c r="BU25" s="385">
        <f t="shared" si="35"/>
        <v>0</v>
      </c>
      <c r="BV25" s="386">
        <f t="shared" si="36"/>
        <v>0</v>
      </c>
      <c r="BW25" s="387">
        <f t="shared" si="37"/>
        <v>0</v>
      </c>
      <c r="BX25" s="385">
        <f t="shared" si="38"/>
        <v>0</v>
      </c>
      <c r="BY25" s="386">
        <f t="shared" si="39"/>
        <v>0</v>
      </c>
      <c r="BZ25" s="387">
        <f t="shared" si="40"/>
        <v>0</v>
      </c>
      <c r="CA25" s="385">
        <f t="shared" si="41"/>
        <v>0</v>
      </c>
      <c r="CB25" s="386">
        <f t="shared" si="42"/>
        <v>0</v>
      </c>
      <c r="CC25" s="387">
        <f t="shared" si="43"/>
        <v>0</v>
      </c>
      <c r="CD25" s="385">
        <f t="shared" si="44"/>
        <v>0</v>
      </c>
      <c r="CE25" s="386">
        <f t="shared" si="45"/>
        <v>0</v>
      </c>
      <c r="CF25" s="387">
        <f t="shared" si="46"/>
        <v>0</v>
      </c>
      <c r="CG25" s="385">
        <f t="shared" si="47"/>
        <v>0</v>
      </c>
      <c r="CH25" s="386">
        <f t="shared" si="48"/>
        <v>0</v>
      </c>
      <c r="CI25" s="387">
        <f t="shared" si="49"/>
        <v>0</v>
      </c>
      <c r="CJ25" s="385">
        <f t="shared" si="50"/>
        <v>0</v>
      </c>
      <c r="CK25" s="386">
        <f t="shared" si="51"/>
        <v>0</v>
      </c>
      <c r="CL25" s="387">
        <f t="shared" si="52"/>
        <v>0</v>
      </c>
      <c r="CM25" s="385">
        <f t="shared" si="53"/>
        <v>0</v>
      </c>
      <c r="CN25" s="386">
        <f t="shared" si="54"/>
        <v>0</v>
      </c>
      <c r="CO25" s="387">
        <f t="shared" si="55"/>
        <v>0</v>
      </c>
      <c r="CP25" s="385">
        <f t="shared" si="56"/>
        <v>0</v>
      </c>
      <c r="CQ25" s="386">
        <f t="shared" si="57"/>
        <v>0</v>
      </c>
      <c r="CR25" s="387">
        <f t="shared" si="58"/>
        <v>0</v>
      </c>
      <c r="CS25" s="385">
        <f t="shared" si="59"/>
        <v>0</v>
      </c>
      <c r="CT25" s="386">
        <f t="shared" si="60"/>
        <v>0</v>
      </c>
      <c r="CU25" s="387">
        <f t="shared" si="61"/>
        <v>0</v>
      </c>
      <c r="CV25" s="385">
        <f t="shared" si="62"/>
        <v>0</v>
      </c>
      <c r="CW25" s="386">
        <f t="shared" si="63"/>
        <v>0</v>
      </c>
      <c r="CX25" s="387">
        <f t="shared" si="64"/>
        <v>0</v>
      </c>
    </row>
    <row r="26" spans="1:102">
      <c r="A26" s="376" t="str">
        <f>'HSZ do groszy'!A26</f>
        <v xml:space="preserve"> -</v>
      </c>
      <c r="B26" s="389"/>
      <c r="C26" s="378"/>
      <c r="D26" s="379"/>
      <c r="E26" s="378"/>
      <c r="F26" s="379"/>
      <c r="G26" s="378"/>
      <c r="H26" s="379"/>
      <c r="I26" s="378"/>
      <c r="J26" s="379"/>
      <c r="K26" s="380"/>
      <c r="L26" s="381"/>
      <c r="M26" s="378"/>
      <c r="N26" s="379"/>
      <c r="O26" s="380"/>
      <c r="P26" s="381"/>
      <c r="Q26" s="378"/>
      <c r="R26" s="379"/>
      <c r="S26" s="380"/>
      <c r="T26" s="381"/>
      <c r="U26" s="378"/>
      <c r="V26" s="379"/>
      <c r="W26" s="380"/>
      <c r="X26" s="381"/>
      <c r="Y26" s="378"/>
      <c r="Z26" s="379"/>
      <c r="AA26" s="380"/>
      <c r="AB26" s="381"/>
      <c r="AC26" s="378"/>
      <c r="AD26" s="379"/>
      <c r="AE26" s="380"/>
      <c r="AF26" s="379"/>
      <c r="AG26" s="380"/>
      <c r="AH26" s="382"/>
      <c r="AI26" s="380"/>
      <c r="AJ26" s="382"/>
      <c r="AK26" s="380"/>
      <c r="AL26" s="382"/>
      <c r="AM26" s="380"/>
      <c r="AN26" s="382"/>
      <c r="AO26" s="380"/>
      <c r="AP26" s="382"/>
      <c r="AQ26" s="380"/>
      <c r="AR26" s="382"/>
      <c r="AS26" s="193"/>
      <c r="AT26" s="193"/>
      <c r="AU26" s="383" t="str">
        <f t="shared" si="10"/>
        <v xml:space="preserve"> -</v>
      </c>
      <c r="AV26" s="384">
        <f t="shared" si="10"/>
        <v>0</v>
      </c>
      <c r="AW26" s="385">
        <f t="shared" si="11"/>
        <v>0</v>
      </c>
      <c r="AX26" s="386">
        <f t="shared" si="12"/>
        <v>0</v>
      </c>
      <c r="AY26" s="387">
        <f t="shared" si="13"/>
        <v>0</v>
      </c>
      <c r="AZ26" s="385">
        <f t="shared" si="14"/>
        <v>0</v>
      </c>
      <c r="BA26" s="386">
        <f t="shared" si="15"/>
        <v>0</v>
      </c>
      <c r="BB26" s="387">
        <f t="shared" si="16"/>
        <v>0</v>
      </c>
      <c r="BC26" s="385">
        <f t="shared" si="17"/>
        <v>0</v>
      </c>
      <c r="BD26" s="386">
        <f t="shared" si="18"/>
        <v>0</v>
      </c>
      <c r="BE26" s="387">
        <f t="shared" si="19"/>
        <v>0</v>
      </c>
      <c r="BF26" s="385">
        <f t="shared" si="20"/>
        <v>0</v>
      </c>
      <c r="BG26" s="386">
        <f t="shared" si="21"/>
        <v>0</v>
      </c>
      <c r="BH26" s="387">
        <f t="shared" si="22"/>
        <v>0</v>
      </c>
      <c r="BI26" s="385">
        <f t="shared" si="23"/>
        <v>0</v>
      </c>
      <c r="BJ26" s="386">
        <f t="shared" si="24"/>
        <v>0</v>
      </c>
      <c r="BK26" s="387">
        <f t="shared" si="25"/>
        <v>0</v>
      </c>
      <c r="BL26" s="385">
        <f t="shared" si="26"/>
        <v>0</v>
      </c>
      <c r="BM26" s="386">
        <f t="shared" si="27"/>
        <v>0</v>
      </c>
      <c r="BN26" s="387">
        <f t="shared" si="28"/>
        <v>0</v>
      </c>
      <c r="BO26" s="385">
        <f t="shared" si="29"/>
        <v>0</v>
      </c>
      <c r="BP26" s="386">
        <f t="shared" si="30"/>
        <v>0</v>
      </c>
      <c r="BQ26" s="387">
        <f t="shared" si="31"/>
        <v>0</v>
      </c>
      <c r="BR26" s="385">
        <f t="shared" si="32"/>
        <v>0</v>
      </c>
      <c r="BS26" s="386">
        <f t="shared" si="33"/>
        <v>0</v>
      </c>
      <c r="BT26" s="387">
        <f t="shared" si="34"/>
        <v>0</v>
      </c>
      <c r="BU26" s="385">
        <f t="shared" si="35"/>
        <v>0</v>
      </c>
      <c r="BV26" s="386">
        <f t="shared" si="36"/>
        <v>0</v>
      </c>
      <c r="BW26" s="387">
        <f t="shared" si="37"/>
        <v>0</v>
      </c>
      <c r="BX26" s="385">
        <f t="shared" si="38"/>
        <v>0</v>
      </c>
      <c r="BY26" s="386">
        <f t="shared" si="39"/>
        <v>0</v>
      </c>
      <c r="BZ26" s="387">
        <f t="shared" si="40"/>
        <v>0</v>
      </c>
      <c r="CA26" s="385">
        <f t="shared" si="41"/>
        <v>0</v>
      </c>
      <c r="CB26" s="386">
        <f t="shared" si="42"/>
        <v>0</v>
      </c>
      <c r="CC26" s="387">
        <f t="shared" si="43"/>
        <v>0</v>
      </c>
      <c r="CD26" s="385">
        <f t="shared" si="44"/>
        <v>0</v>
      </c>
      <c r="CE26" s="386">
        <f t="shared" si="45"/>
        <v>0</v>
      </c>
      <c r="CF26" s="387">
        <f t="shared" si="46"/>
        <v>0</v>
      </c>
      <c r="CG26" s="385">
        <f t="shared" si="47"/>
        <v>0</v>
      </c>
      <c r="CH26" s="386">
        <f t="shared" si="48"/>
        <v>0</v>
      </c>
      <c r="CI26" s="387">
        <f t="shared" si="49"/>
        <v>0</v>
      </c>
      <c r="CJ26" s="385">
        <f t="shared" si="50"/>
        <v>0</v>
      </c>
      <c r="CK26" s="386">
        <f t="shared" si="51"/>
        <v>0</v>
      </c>
      <c r="CL26" s="387">
        <f t="shared" si="52"/>
        <v>0</v>
      </c>
      <c r="CM26" s="385">
        <f t="shared" si="53"/>
        <v>0</v>
      </c>
      <c r="CN26" s="386">
        <f t="shared" si="54"/>
        <v>0</v>
      </c>
      <c r="CO26" s="387">
        <f t="shared" si="55"/>
        <v>0</v>
      </c>
      <c r="CP26" s="385">
        <f t="shared" si="56"/>
        <v>0</v>
      </c>
      <c r="CQ26" s="386">
        <f t="shared" si="57"/>
        <v>0</v>
      </c>
      <c r="CR26" s="387">
        <f t="shared" si="58"/>
        <v>0</v>
      </c>
      <c r="CS26" s="385">
        <f t="shared" si="59"/>
        <v>0</v>
      </c>
      <c r="CT26" s="386">
        <f t="shared" si="60"/>
        <v>0</v>
      </c>
      <c r="CU26" s="387">
        <f t="shared" si="61"/>
        <v>0</v>
      </c>
      <c r="CV26" s="385">
        <f t="shared" si="62"/>
        <v>0</v>
      </c>
      <c r="CW26" s="386">
        <f t="shared" si="63"/>
        <v>0</v>
      </c>
      <c r="CX26" s="387">
        <f t="shared" si="64"/>
        <v>0</v>
      </c>
    </row>
    <row r="27" spans="1:102">
      <c r="A27" s="376" t="str">
        <f>'HSZ do groszy'!A27</f>
        <v>pożyczka 2013</v>
      </c>
      <c r="B27" s="377">
        <f>ROUNDUP('HSZ do groszy'!B27,0)</f>
        <v>0</v>
      </c>
      <c r="C27" s="378">
        <f>ROUNDUP('HSZ do groszy'!C27,0)</f>
        <v>0</v>
      </c>
      <c r="D27" s="379">
        <f>ROUNDUP('HSZ do groszy'!D27,0)</f>
        <v>0</v>
      </c>
      <c r="E27" s="378">
        <f t="shared" ref="E27:E28" si="65">G27+I27+K27+M27+O27+Q27+S27+U27+W27+Y27+AA27+AC27+AE27+AG27</f>
        <v>2285316</v>
      </c>
      <c r="F27" s="379">
        <f t="shared" ref="F27:F28" si="66">H27+J27+L27+N27+P27+R27+T27+V27+X27+Z27+AB27+AD27+AF27+AH27</f>
        <v>1312816</v>
      </c>
      <c r="G27" s="378">
        <f>ROUNDUP('HSZ do groszy'!G27,0)</f>
        <v>0</v>
      </c>
      <c r="H27" s="379">
        <f>ROUNDUP('HSZ do groszy'!H27,0)</f>
        <v>0</v>
      </c>
      <c r="I27" s="378">
        <f>ROUNDUP('HSZ do groszy'!I27,0)</f>
        <v>0</v>
      </c>
      <c r="J27" s="379">
        <f>ROUNDUP('HSZ do groszy'!J27,0)</f>
        <v>0</v>
      </c>
      <c r="K27" s="380">
        <f>ROUNDUP('HSZ do groszy'!K27,0)</f>
        <v>0</v>
      </c>
      <c r="L27" s="381">
        <f>ROUNDUP('HSZ do groszy'!L27,0)</f>
        <v>177009</v>
      </c>
      <c r="M27" s="378">
        <f>ROUNDUP('HSZ do groszy'!M27,0)</f>
        <v>0</v>
      </c>
      <c r="N27" s="381">
        <f>ROUNDUP('HSZ do groszy'!N27,0)</f>
        <v>177009</v>
      </c>
      <c r="O27" s="380">
        <f>ROUNDUP('HSZ do groszy'!O27,0)</f>
        <v>228532</v>
      </c>
      <c r="P27" s="381">
        <f>ROUNDUP('HSZ do groszy'!P27,0)</f>
        <v>175534</v>
      </c>
      <c r="Q27" s="378">
        <f>ROUNDUP('HSZ do groszy'!Q27,0)</f>
        <v>228532</v>
      </c>
      <c r="R27" s="381">
        <f>ROUNDUP('HSZ do groszy'!R27,0)</f>
        <v>157833</v>
      </c>
      <c r="S27" s="380">
        <f>ROUNDUP('HSZ do groszy'!S27,0)</f>
        <v>228532</v>
      </c>
      <c r="T27" s="381">
        <f>ROUNDUP('HSZ do groszy'!T27,0)</f>
        <v>140132</v>
      </c>
      <c r="U27" s="378">
        <f>ROUNDUP('HSZ do groszy'!U27,0)</f>
        <v>228532</v>
      </c>
      <c r="V27" s="381">
        <f>ROUNDUP('HSZ do groszy'!V27,0)</f>
        <v>122431</v>
      </c>
      <c r="W27" s="380">
        <f>ROUNDUP('HSZ do groszy'!W27,0)</f>
        <v>228532</v>
      </c>
      <c r="X27" s="381">
        <f>ROUNDUP('HSZ do groszy'!X27,0)</f>
        <v>104730</v>
      </c>
      <c r="Y27" s="378">
        <f>ROUNDUP('HSZ do groszy'!Y27,0)</f>
        <v>228532</v>
      </c>
      <c r="Z27" s="381">
        <f>ROUNDUP('HSZ do groszy'!Z27,0)</f>
        <v>87029</v>
      </c>
      <c r="AA27" s="380">
        <f>ROUNDUP('HSZ do groszy'!AA27,0)</f>
        <v>228532</v>
      </c>
      <c r="AB27" s="381">
        <f>ROUNDUP('HSZ do groszy'!AB27,0)</f>
        <v>69328</v>
      </c>
      <c r="AC27" s="378">
        <f>ROUNDUP('HSZ do groszy'!AC27,0)</f>
        <v>228532</v>
      </c>
      <c r="AD27" s="381">
        <f>ROUNDUP('HSZ do groszy'!AD27,0)</f>
        <v>51628</v>
      </c>
      <c r="AE27" s="380">
        <f>ROUNDUP('HSZ do groszy'!AE27,0)</f>
        <v>228532</v>
      </c>
      <c r="AF27" s="379">
        <f>ROUNDUP('HSZ do groszy'!AF27,0)</f>
        <v>33927</v>
      </c>
      <c r="AG27" s="380">
        <f>ROUNDUP('HSZ do groszy'!AG27,0)</f>
        <v>228528</v>
      </c>
      <c r="AH27" s="382">
        <f>ROUNDUP('HSZ do groszy'!AH27,0)</f>
        <v>16226</v>
      </c>
      <c r="AI27" s="380">
        <f>ROUNDUP('HSZ do groszy'!AI27,0)</f>
        <v>0</v>
      </c>
      <c r="AJ27" s="382">
        <f>ROUNDUP('HSZ do groszy'!AJ27,0)</f>
        <v>0</v>
      </c>
      <c r="AK27" s="380">
        <f>ROUNDUP('HSZ do groszy'!AK27,0)</f>
        <v>0</v>
      </c>
      <c r="AL27" s="382">
        <f>ROUNDUP('HSZ do groszy'!AL27,0)</f>
        <v>0</v>
      </c>
      <c r="AM27" s="380">
        <f>ROUNDUP('HSZ do groszy'!AM27,0)</f>
        <v>0</v>
      </c>
      <c r="AN27" s="382">
        <f>ROUNDUP('HSZ do groszy'!AN27,0)</f>
        <v>0</v>
      </c>
      <c r="AO27" s="380">
        <f>ROUNDUP('HSZ do groszy'!AO27,0)</f>
        <v>0</v>
      </c>
      <c r="AP27" s="382">
        <f>ROUNDUP('HSZ do groszy'!AP27,0)</f>
        <v>0</v>
      </c>
      <c r="AQ27" s="380">
        <f>ROUNDUP('HSZ do groszy'!AQ27,0)</f>
        <v>0</v>
      </c>
      <c r="AR27" s="382">
        <f>ROUNDUP('HSZ do groszy'!AR27,0)</f>
        <v>0</v>
      </c>
      <c r="AS27" s="193"/>
      <c r="AT27" s="193"/>
      <c r="AU27" s="383" t="s">
        <v>339</v>
      </c>
      <c r="AV27" s="384"/>
      <c r="AW27" s="385"/>
      <c r="AX27" s="386"/>
      <c r="AY27" s="387"/>
      <c r="AZ27" s="385">
        <f>SUM($K27,$M27,$O27,$Q27,$S27,$U27,$W27,$Y27,$AA27,$AC27,$AE27,$AG27)</f>
        <v>2285316</v>
      </c>
      <c r="BA27" s="386">
        <f>SUM($L27,$N27,$P27,$R27,$T27,$V27,$X27,$Z27,$AB27,$AD27,$AF27,$AH27)</f>
        <v>1312816</v>
      </c>
      <c r="BB27" s="387">
        <f>SUM(AZ27,BA27)</f>
        <v>3598132</v>
      </c>
      <c r="BC27" s="385">
        <f>SUM($M27,$O27,$Q27,$S27,$U27,$W27,$Y27,$AA27,$AC27,$AE27,$AG27)</f>
        <v>2285316</v>
      </c>
      <c r="BD27" s="386">
        <f>SUM($N27,$P27,$R27,$T27,$V27,$X27,$Z27,$AB27,$AD27,$AF27,$AH27)</f>
        <v>1135807</v>
      </c>
      <c r="BE27" s="387">
        <f>SUM(BC27,BD27)</f>
        <v>3421123</v>
      </c>
      <c r="BF27" s="385">
        <f t="shared" si="20"/>
        <v>2285316</v>
      </c>
      <c r="BG27" s="386">
        <f t="shared" si="21"/>
        <v>958798</v>
      </c>
      <c r="BH27" s="387">
        <f>SUM(BF27,BG27)</f>
        <v>3244114</v>
      </c>
      <c r="BI27" s="385">
        <f t="shared" si="23"/>
        <v>2056784</v>
      </c>
      <c r="BJ27" s="386">
        <f t="shared" si="24"/>
        <v>783264</v>
      </c>
      <c r="BK27" s="387">
        <f>SUM(BI27,BJ27)</f>
        <v>2840048</v>
      </c>
      <c r="BL27" s="385">
        <f t="shared" si="26"/>
        <v>1828252</v>
      </c>
      <c r="BM27" s="386">
        <f t="shared" si="27"/>
        <v>625431</v>
      </c>
      <c r="BN27" s="387">
        <f t="shared" si="28"/>
        <v>2453683</v>
      </c>
      <c r="BO27" s="385">
        <f t="shared" si="29"/>
        <v>1599720</v>
      </c>
      <c r="BP27" s="386">
        <f t="shared" si="30"/>
        <v>485299</v>
      </c>
      <c r="BQ27" s="387">
        <f t="shared" si="31"/>
        <v>2085019</v>
      </c>
      <c r="BR27" s="385">
        <f t="shared" si="32"/>
        <v>1371188</v>
      </c>
      <c r="BS27" s="386">
        <f t="shared" si="33"/>
        <v>362868</v>
      </c>
      <c r="BT27" s="387">
        <f t="shared" si="34"/>
        <v>1734056</v>
      </c>
      <c r="BU27" s="385">
        <f t="shared" si="35"/>
        <v>1142656</v>
      </c>
      <c r="BV27" s="386">
        <f t="shared" si="36"/>
        <v>258138</v>
      </c>
      <c r="BW27" s="387">
        <f t="shared" si="37"/>
        <v>1400794</v>
      </c>
      <c r="BX27" s="385">
        <f t="shared" si="38"/>
        <v>914124</v>
      </c>
      <c r="BY27" s="386">
        <f t="shared" si="39"/>
        <v>171109</v>
      </c>
      <c r="BZ27" s="387">
        <f t="shared" si="40"/>
        <v>1085233</v>
      </c>
      <c r="CA27" s="385">
        <f t="shared" si="41"/>
        <v>685592</v>
      </c>
      <c r="CB27" s="386">
        <f t="shared" si="42"/>
        <v>101781</v>
      </c>
      <c r="CC27" s="387">
        <f t="shared" si="43"/>
        <v>787373</v>
      </c>
      <c r="CD27" s="385">
        <f t="shared" si="44"/>
        <v>457060</v>
      </c>
      <c r="CE27" s="386">
        <f t="shared" si="45"/>
        <v>50153</v>
      </c>
      <c r="CF27" s="387">
        <f t="shared" si="46"/>
        <v>507213</v>
      </c>
      <c r="CG27" s="385">
        <f t="shared" si="47"/>
        <v>228528</v>
      </c>
      <c r="CH27" s="386">
        <f t="shared" si="48"/>
        <v>16226</v>
      </c>
      <c r="CI27" s="387">
        <f t="shared" si="49"/>
        <v>244754</v>
      </c>
      <c r="CJ27" s="385">
        <v>0</v>
      </c>
      <c r="CK27" s="386">
        <v>0</v>
      </c>
      <c r="CL27" s="387">
        <f t="shared" si="52"/>
        <v>0</v>
      </c>
      <c r="CM27" s="385">
        <v>0</v>
      </c>
      <c r="CN27" s="386">
        <v>0</v>
      </c>
      <c r="CO27" s="387">
        <f t="shared" si="55"/>
        <v>0</v>
      </c>
      <c r="CP27" s="385">
        <v>0</v>
      </c>
      <c r="CQ27" s="386">
        <v>0</v>
      </c>
      <c r="CR27" s="387">
        <f t="shared" si="58"/>
        <v>0</v>
      </c>
      <c r="CS27" s="385">
        <v>0</v>
      </c>
      <c r="CT27" s="386">
        <v>0</v>
      </c>
      <c r="CU27" s="387">
        <f t="shared" si="61"/>
        <v>0</v>
      </c>
      <c r="CV27" s="385">
        <v>0</v>
      </c>
      <c r="CW27" s="386">
        <v>0</v>
      </c>
      <c r="CX27" s="387">
        <f t="shared" si="64"/>
        <v>0</v>
      </c>
    </row>
    <row r="28" spans="1:102">
      <c r="A28" s="376" t="str">
        <f>'HSZ do groszy'!A28</f>
        <v>pożyczka 2014</v>
      </c>
      <c r="B28" s="377">
        <f>ROUNDUP('HSZ do groszy'!B28,0)</f>
        <v>0</v>
      </c>
      <c r="C28" s="378">
        <f>ROUNDUP('HSZ do groszy'!C28,0)</f>
        <v>0</v>
      </c>
      <c r="D28" s="379">
        <f>ROUNDUP('HSZ do groszy'!D28,0)</f>
        <v>0</v>
      </c>
      <c r="E28" s="378">
        <f t="shared" si="65"/>
        <v>3379957</v>
      </c>
      <c r="F28" s="379">
        <f t="shared" si="66"/>
        <v>1679844</v>
      </c>
      <c r="G28" s="378">
        <f>ROUNDUP('HSZ do groszy'!G28,0)</f>
        <v>0</v>
      </c>
      <c r="H28" s="379">
        <f>ROUNDUP('HSZ do groszy'!H28,0)</f>
        <v>0</v>
      </c>
      <c r="I28" s="378">
        <f>ROUNDUP('HSZ do groszy'!I28,0)</f>
        <v>0</v>
      </c>
      <c r="J28" s="379">
        <f>ROUNDUP('HSZ do groszy'!J28,0)</f>
        <v>0</v>
      </c>
      <c r="K28" s="380">
        <f>ROUNDUP('HSZ do groszy'!K28,0)</f>
        <v>0</v>
      </c>
      <c r="L28" s="381">
        <f>ROUNDUP('HSZ do groszy'!L28,0)</f>
        <v>0</v>
      </c>
      <c r="M28" s="378">
        <f>ROUNDUP('HSZ do groszy'!M28,0)</f>
        <v>0</v>
      </c>
      <c r="N28" s="379">
        <f>ROUNDUP('HSZ do groszy'!N28,0)</f>
        <v>261794</v>
      </c>
      <c r="O28" s="380">
        <f>ROUNDUP('HSZ do groszy'!O28,0)</f>
        <v>337996</v>
      </c>
      <c r="P28" s="379">
        <f>ROUNDUP('HSZ do groszy'!P28,0)</f>
        <v>259612</v>
      </c>
      <c r="Q28" s="378">
        <f>ROUNDUP('HSZ do groszy'!Q28,0)</f>
        <v>337996</v>
      </c>
      <c r="R28" s="379">
        <f>ROUNDUP('HSZ do groszy'!R28,0)</f>
        <v>233433</v>
      </c>
      <c r="S28" s="380">
        <f>ROUNDUP('HSZ do groszy'!S28,0)</f>
        <v>337996</v>
      </c>
      <c r="T28" s="379">
        <f>ROUNDUP('HSZ do groszy'!T28,0)</f>
        <v>207253</v>
      </c>
      <c r="U28" s="378">
        <f>ROUNDUP('HSZ do groszy'!U28,0)</f>
        <v>337996</v>
      </c>
      <c r="V28" s="379">
        <f>ROUNDUP('HSZ do groszy'!V28,0)</f>
        <v>181074</v>
      </c>
      <c r="W28" s="380">
        <f>ROUNDUP('HSZ do groszy'!W28,0)</f>
        <v>337996</v>
      </c>
      <c r="X28" s="379">
        <f>ROUNDUP('HSZ do groszy'!X28,0)</f>
        <v>154895</v>
      </c>
      <c r="Y28" s="378">
        <f>ROUNDUP('HSZ do groszy'!Y28,0)</f>
        <v>337996</v>
      </c>
      <c r="Z28" s="379">
        <f>ROUNDUP('HSZ do groszy'!Z28,0)</f>
        <v>128715</v>
      </c>
      <c r="AA28" s="380">
        <f>ROUNDUP('HSZ do groszy'!AA28,0)</f>
        <v>337996</v>
      </c>
      <c r="AB28" s="379">
        <f>ROUNDUP('HSZ do groszy'!AB28,0)</f>
        <v>102536</v>
      </c>
      <c r="AC28" s="378">
        <f>ROUNDUP('HSZ do groszy'!AC28,0)</f>
        <v>337996</v>
      </c>
      <c r="AD28" s="379">
        <f>ROUNDUP('HSZ do groszy'!AD28,0)</f>
        <v>76357</v>
      </c>
      <c r="AE28" s="380">
        <f>ROUNDUP('HSZ do groszy'!AE28,0)</f>
        <v>337996</v>
      </c>
      <c r="AF28" s="379">
        <f>ROUNDUP('HSZ do groszy'!AF28,0)</f>
        <v>50177</v>
      </c>
      <c r="AG28" s="380">
        <f>ROUNDUP('HSZ do groszy'!AG28,0)</f>
        <v>337993</v>
      </c>
      <c r="AH28" s="382">
        <f>ROUNDUP('HSZ do groszy'!AH28,0)</f>
        <v>23998</v>
      </c>
      <c r="AI28" s="380">
        <f>ROUNDUP('HSZ do groszy'!AI28,0)</f>
        <v>0</v>
      </c>
      <c r="AJ28" s="382">
        <f>ROUNDUP('HSZ do groszy'!AJ28,0)</f>
        <v>0</v>
      </c>
      <c r="AK28" s="380">
        <f>ROUNDUP('HSZ do groszy'!AK28,0)</f>
        <v>0</v>
      </c>
      <c r="AL28" s="382">
        <f>ROUNDUP('HSZ do groszy'!AL28,0)</f>
        <v>0</v>
      </c>
      <c r="AM28" s="380">
        <f>ROUNDUP('HSZ do groszy'!AM28,0)</f>
        <v>0</v>
      </c>
      <c r="AN28" s="382">
        <f>ROUNDUP('HSZ do groszy'!AN28,0)</f>
        <v>0</v>
      </c>
      <c r="AO28" s="380">
        <f>ROUNDUP('HSZ do groszy'!AO28,0)</f>
        <v>0</v>
      </c>
      <c r="AP28" s="382">
        <f>ROUNDUP('HSZ do groszy'!AP28,0)</f>
        <v>0</v>
      </c>
      <c r="AQ28" s="380">
        <f>ROUNDUP('HSZ do groszy'!AQ28,0)</f>
        <v>0</v>
      </c>
      <c r="AR28" s="382">
        <f>ROUNDUP('HSZ do groszy'!AR28,0)</f>
        <v>0</v>
      </c>
      <c r="AS28" s="193"/>
      <c r="AT28" s="193"/>
      <c r="AU28" s="383" t="s">
        <v>338</v>
      </c>
      <c r="AV28" s="384"/>
      <c r="AW28" s="385"/>
      <c r="AX28" s="386"/>
      <c r="AY28" s="387"/>
      <c r="AZ28" s="385"/>
      <c r="BA28" s="386"/>
      <c r="BB28" s="387"/>
      <c r="BC28" s="385">
        <f>SUM($M28,$O28,$Q28,$S28,$U28,$W28,$Y28,$AA28,$AC28,$AE28,$AG28)</f>
        <v>3379957</v>
      </c>
      <c r="BD28" s="386">
        <f>SUM($N28,$P28,$R28,$T28,$V28,$X28,$Z28,$AB28,$AD28,$AF28,$AH28)</f>
        <v>1679844</v>
      </c>
      <c r="BE28" s="387">
        <f>SUM(BC28,BD28)</f>
        <v>5059801</v>
      </c>
      <c r="BF28" s="385">
        <f t="shared" si="20"/>
        <v>3379957</v>
      </c>
      <c r="BG28" s="386">
        <f t="shared" si="21"/>
        <v>1418050</v>
      </c>
      <c r="BH28" s="387">
        <f>SUM(BF28,BG28)</f>
        <v>4798007</v>
      </c>
      <c r="BI28" s="385">
        <f t="shared" si="23"/>
        <v>3041961</v>
      </c>
      <c r="BJ28" s="386">
        <f t="shared" si="24"/>
        <v>1158438</v>
      </c>
      <c r="BK28" s="387">
        <f>SUM(BI28,BJ28)</f>
        <v>4200399</v>
      </c>
      <c r="BL28" s="385">
        <f t="shared" si="26"/>
        <v>2703965</v>
      </c>
      <c r="BM28" s="386">
        <f t="shared" si="27"/>
        <v>925005</v>
      </c>
      <c r="BN28" s="387">
        <f t="shared" si="28"/>
        <v>3628970</v>
      </c>
      <c r="BO28" s="385">
        <f t="shared" si="29"/>
        <v>2365969</v>
      </c>
      <c r="BP28" s="386">
        <f t="shared" si="30"/>
        <v>717752</v>
      </c>
      <c r="BQ28" s="387">
        <f t="shared" si="31"/>
        <v>3083721</v>
      </c>
      <c r="BR28" s="385">
        <f t="shared" si="32"/>
        <v>2027973</v>
      </c>
      <c r="BS28" s="386">
        <f t="shared" si="33"/>
        <v>536678</v>
      </c>
      <c r="BT28" s="387">
        <f t="shared" si="34"/>
        <v>2564651</v>
      </c>
      <c r="BU28" s="385">
        <f t="shared" si="35"/>
        <v>1689977</v>
      </c>
      <c r="BV28" s="386">
        <f t="shared" si="36"/>
        <v>381783</v>
      </c>
      <c r="BW28" s="387">
        <f t="shared" si="37"/>
        <v>2071760</v>
      </c>
      <c r="BX28" s="385">
        <f t="shared" si="38"/>
        <v>1351981</v>
      </c>
      <c r="BY28" s="386">
        <f t="shared" si="39"/>
        <v>253068</v>
      </c>
      <c r="BZ28" s="387">
        <f t="shared" si="40"/>
        <v>1605049</v>
      </c>
      <c r="CA28" s="385">
        <f t="shared" si="41"/>
        <v>1013985</v>
      </c>
      <c r="CB28" s="386">
        <f t="shared" si="42"/>
        <v>150532</v>
      </c>
      <c r="CC28" s="387">
        <f t="shared" si="43"/>
        <v>1164517</v>
      </c>
      <c r="CD28" s="385">
        <f t="shared" si="44"/>
        <v>675989</v>
      </c>
      <c r="CE28" s="386">
        <f t="shared" si="45"/>
        <v>74175</v>
      </c>
      <c r="CF28" s="387">
        <f t="shared" si="46"/>
        <v>750164</v>
      </c>
      <c r="CG28" s="385">
        <f t="shared" si="47"/>
        <v>337993</v>
      </c>
      <c r="CH28" s="386">
        <f t="shared" si="48"/>
        <v>23998</v>
      </c>
      <c r="CI28" s="387">
        <f t="shared" si="49"/>
        <v>361991</v>
      </c>
      <c r="CJ28" s="385">
        <v>0</v>
      </c>
      <c r="CK28" s="386">
        <v>0</v>
      </c>
      <c r="CL28" s="387">
        <f t="shared" si="52"/>
        <v>0</v>
      </c>
      <c r="CM28" s="385">
        <v>0</v>
      </c>
      <c r="CN28" s="386">
        <v>0</v>
      </c>
      <c r="CO28" s="387">
        <f t="shared" si="55"/>
        <v>0</v>
      </c>
      <c r="CP28" s="385">
        <v>0</v>
      </c>
      <c r="CQ28" s="386">
        <v>0</v>
      </c>
      <c r="CR28" s="387">
        <f t="shared" si="58"/>
        <v>0</v>
      </c>
      <c r="CS28" s="385">
        <v>0</v>
      </c>
      <c r="CT28" s="386">
        <v>0</v>
      </c>
      <c r="CU28" s="387">
        <f t="shared" si="61"/>
        <v>0</v>
      </c>
      <c r="CV28" s="385">
        <v>0</v>
      </c>
      <c r="CW28" s="386">
        <v>0</v>
      </c>
      <c r="CX28" s="387">
        <f t="shared" si="64"/>
        <v>0</v>
      </c>
    </row>
    <row r="29" spans="1:102">
      <c r="A29" s="376" t="str">
        <f>'HSZ do groszy'!A29</f>
        <v>pożyczka 2015</v>
      </c>
      <c r="B29" s="377">
        <f>ROUNDUP('HSZ do groszy'!B29,0)</f>
        <v>0</v>
      </c>
      <c r="C29" s="378">
        <f>ROUNDUP('HSZ do groszy'!C29,0)</f>
        <v>0</v>
      </c>
      <c r="D29" s="379">
        <f>ROUNDUP('HSZ do groszy'!D29,0)</f>
        <v>0</v>
      </c>
      <c r="E29" s="378">
        <f>G29+I29+K29+M29+O29+Q29+S29+U29+W29+Y29+AA29+AC29+AE29+AG29</f>
        <v>547885</v>
      </c>
      <c r="F29" s="379">
        <f>H29+J29+L29+N29+P29+R29+T29+V29+X29+Z29+AB29+AD29+AF29+AH29</f>
        <v>229576</v>
      </c>
      <c r="G29" s="378">
        <f>ROUNDUP('HSZ do groszy'!G29,0)</f>
        <v>0</v>
      </c>
      <c r="H29" s="379">
        <f>ROUNDUP('HSZ do groszy'!H29,0)</f>
        <v>0</v>
      </c>
      <c r="I29" s="378">
        <f>ROUNDUP('HSZ do groszy'!I29,0)</f>
        <v>0</v>
      </c>
      <c r="J29" s="379">
        <f>ROUNDUP('HSZ do groszy'!J29,0)</f>
        <v>0</v>
      </c>
      <c r="K29" s="380">
        <f>ROUNDUP('HSZ do groszy'!K29,0)</f>
        <v>0</v>
      </c>
      <c r="L29" s="381">
        <f>ROUNDUP('HSZ do groszy'!L29,0)</f>
        <v>0</v>
      </c>
      <c r="M29" s="378">
        <f>ROUNDUP('HSZ do groszy'!M29,0)</f>
        <v>0</v>
      </c>
      <c r="N29" s="379">
        <f>ROUNDUP('HSZ do groszy'!N29,0)</f>
        <v>0</v>
      </c>
      <c r="O29" s="380">
        <f>ROUNDUP('HSZ do groszy'!O29,0)</f>
        <v>54872</v>
      </c>
      <c r="P29" s="381">
        <f>ROUNDUP('HSZ do groszy'!P29,0)</f>
        <v>42083</v>
      </c>
      <c r="Q29" s="378">
        <f>ROUNDUP('HSZ do groszy'!Q29,0)</f>
        <v>54872</v>
      </c>
      <c r="R29" s="381">
        <f>ROUNDUP('HSZ do groszy'!R29,0)</f>
        <v>37832</v>
      </c>
      <c r="S29" s="380">
        <f>ROUNDUP('HSZ do groszy'!S29,0)</f>
        <v>54872</v>
      </c>
      <c r="T29" s="381">
        <f>ROUNDUP('HSZ do groszy'!T29,0)</f>
        <v>33582</v>
      </c>
      <c r="U29" s="378">
        <f>ROUNDUP('HSZ do groszy'!U29,0)</f>
        <v>54872</v>
      </c>
      <c r="V29" s="381">
        <f>ROUNDUP('HSZ do groszy'!V29,0)</f>
        <v>29332</v>
      </c>
      <c r="W29" s="380">
        <f>ROUNDUP('HSZ do groszy'!W29,0)</f>
        <v>54872</v>
      </c>
      <c r="X29" s="381">
        <f>ROUNDUP('HSZ do groszy'!X29,0)</f>
        <v>25082</v>
      </c>
      <c r="Y29" s="378">
        <f>ROUNDUP('HSZ do groszy'!Y29,0)</f>
        <v>54872</v>
      </c>
      <c r="Z29" s="381">
        <f>ROUNDUP('HSZ do groszy'!Z29,0)</f>
        <v>20832</v>
      </c>
      <c r="AA29" s="380">
        <f>ROUNDUP('HSZ do groszy'!AA29,0)</f>
        <v>54872</v>
      </c>
      <c r="AB29" s="381">
        <f>ROUNDUP('HSZ do groszy'!AB29,0)</f>
        <v>16582</v>
      </c>
      <c r="AC29" s="378">
        <f>ROUNDUP('HSZ do groszy'!AC29,0)</f>
        <v>54872</v>
      </c>
      <c r="AD29" s="381">
        <f>ROUNDUP('HSZ do groszy'!AD29,0)</f>
        <v>12332</v>
      </c>
      <c r="AE29" s="380">
        <f>ROUNDUP('HSZ do groszy'!AE29,0)</f>
        <v>54872</v>
      </c>
      <c r="AF29" s="381">
        <f>ROUNDUP('HSZ do groszy'!AF29,0)</f>
        <v>8082</v>
      </c>
      <c r="AG29" s="380">
        <f>ROUNDUP('HSZ do groszy'!AG29,0)</f>
        <v>54037</v>
      </c>
      <c r="AH29" s="381">
        <f>ROUNDUP('HSZ do groszy'!AH29,0)</f>
        <v>3837</v>
      </c>
      <c r="AI29" s="380">
        <f>ROUNDUP('HSZ do groszy'!AI29,0)</f>
        <v>0</v>
      </c>
      <c r="AJ29" s="381">
        <f>ROUNDUP('HSZ do groszy'!AJ29,0)</f>
        <v>0</v>
      </c>
      <c r="AK29" s="380">
        <f>ROUNDUP('HSZ do groszy'!AK29,0)</f>
        <v>0</v>
      </c>
      <c r="AL29" s="381">
        <f>ROUNDUP('HSZ do groszy'!AL29,0)</f>
        <v>0</v>
      </c>
      <c r="AM29" s="380">
        <f>ROUNDUP('HSZ do groszy'!AM29,0)</f>
        <v>0</v>
      </c>
      <c r="AN29" s="381">
        <f>ROUNDUP('HSZ do groszy'!AN29,0)</f>
        <v>0</v>
      </c>
      <c r="AO29" s="380">
        <f>ROUNDUP('HSZ do groszy'!AO29,0)</f>
        <v>0</v>
      </c>
      <c r="AP29" s="381">
        <f>ROUNDUP('HSZ do groszy'!AP29,0)</f>
        <v>0</v>
      </c>
      <c r="AQ29" s="380">
        <f>ROUNDUP('HSZ do groszy'!AQ29,0)</f>
        <v>0</v>
      </c>
      <c r="AR29" s="381">
        <f>ROUNDUP('HSZ do groszy'!AR29,0)</f>
        <v>0</v>
      </c>
      <c r="AS29" s="193"/>
      <c r="AT29" s="193"/>
      <c r="AU29" s="383" t="s">
        <v>339</v>
      </c>
      <c r="AV29" s="384">
        <f>B29</f>
        <v>0</v>
      </c>
      <c r="AW29" s="385"/>
      <c r="AX29" s="386"/>
      <c r="AY29" s="387"/>
      <c r="AZ29" s="385"/>
      <c r="BA29" s="386"/>
      <c r="BB29" s="387"/>
      <c r="BC29" s="385"/>
      <c r="BD29" s="386"/>
      <c r="BE29" s="387"/>
      <c r="BF29" s="385">
        <f>SUM($O29,$Q29,$S29,$U29,$W29,$Y29,$AA29,$AC29,$AE29,$AG29)</f>
        <v>547885</v>
      </c>
      <c r="BG29" s="386">
        <f>SUM($P29,$R29,$T29,$V29,$X29,$Z29,$AB29,$AD29,$AF29,$AH29)</f>
        <v>229576</v>
      </c>
      <c r="BH29" s="387">
        <f>SUM(BF29,BG29)</f>
        <v>777461</v>
      </c>
      <c r="BI29" s="385">
        <f>SUM($Q29,$S29,$U29,$W29,$Y29,$AA29,$AC29,$AE29,$AG29)</f>
        <v>493013</v>
      </c>
      <c r="BJ29" s="386">
        <f>SUM($R29,$T29,$V29,$X29,$Z29,$AB29,$AD29,$AF29,$AH29)</f>
        <v>187493</v>
      </c>
      <c r="BK29" s="387">
        <f>SUM(BI29,BJ29)</f>
        <v>680506</v>
      </c>
      <c r="BL29" s="385">
        <f>SUM($S29,$U29,$W29,$Y29,$AA29,$AC29,$AE29,$AG29)</f>
        <v>438141</v>
      </c>
      <c r="BM29" s="386">
        <f>SUM($T29,$V29,$X29,$Z29,$AB29,$AD29,$AF29,$AH29)</f>
        <v>149661</v>
      </c>
      <c r="BN29" s="387">
        <f>SUM(BL29,BM29)</f>
        <v>587802</v>
      </c>
      <c r="BO29" s="385">
        <f>SUM($U29,$W29,$Y29,$AA29,$AC29,$AE29,$AG29)</f>
        <v>383269</v>
      </c>
      <c r="BP29" s="386">
        <f>SUM($V29,$X29,$Z29,$AB29,$AD29,$AF29,$AH29)</f>
        <v>116079</v>
      </c>
      <c r="BQ29" s="387">
        <f>SUM(BO29,BP29)</f>
        <v>499348</v>
      </c>
      <c r="BR29" s="385">
        <f>SUM($W29,$Y29,$AA29,$AC29,$AE29,$AG29)</f>
        <v>328397</v>
      </c>
      <c r="BS29" s="386">
        <f>SUM($X29,$Z29,$AB29,$AD29,$AF29,$AH29)</f>
        <v>86747</v>
      </c>
      <c r="BT29" s="387">
        <f>SUM(BR29,BS29)</f>
        <v>415144</v>
      </c>
      <c r="BU29" s="385">
        <f>SUM($Y29,$AA29,$AC29,$AE29,$AG29)</f>
        <v>273525</v>
      </c>
      <c r="BV29" s="386">
        <f>SUM($Z29,$AB29,$AD29,$AF29,$AH29)</f>
        <v>61665</v>
      </c>
      <c r="BW29" s="387">
        <f>SUM(BU29,BV29)</f>
        <v>335190</v>
      </c>
      <c r="BX29" s="385">
        <f>SUM($AA29,$AC29,$AE29,$AG29)</f>
        <v>218653</v>
      </c>
      <c r="BY29" s="386">
        <f>SUM($AB29,$AD29,$AF29,$AH29)</f>
        <v>40833</v>
      </c>
      <c r="BZ29" s="387">
        <f>SUM(BX29,BY29)</f>
        <v>259486</v>
      </c>
      <c r="CA29" s="385">
        <f>SUM($AC29,$AE29,$AG29)</f>
        <v>163781</v>
      </c>
      <c r="CB29" s="386">
        <f>SUM($AD29,$AF29,$AH29)</f>
        <v>24251</v>
      </c>
      <c r="CC29" s="387">
        <f>SUM(CA29,CB29)</f>
        <v>188032</v>
      </c>
      <c r="CD29" s="385">
        <f>SUM($AE29,$AG29)</f>
        <v>108909</v>
      </c>
      <c r="CE29" s="386">
        <f>SUM($AF29,$AH29)</f>
        <v>11919</v>
      </c>
      <c r="CF29" s="387">
        <f>SUM(CD29,CE29)</f>
        <v>120828</v>
      </c>
      <c r="CG29" s="385">
        <f>SUM($AG29)</f>
        <v>54037</v>
      </c>
      <c r="CH29" s="386">
        <f>SUM($AH29)</f>
        <v>3837</v>
      </c>
      <c r="CI29" s="387">
        <f>SUM(CG29,CH29)</f>
        <v>57874</v>
      </c>
      <c r="CJ29" s="385">
        <v>0</v>
      </c>
      <c r="CK29" s="386">
        <v>0</v>
      </c>
      <c r="CL29" s="387">
        <f>SUM(CJ29,CK29)</f>
        <v>0</v>
      </c>
      <c r="CM29" s="385">
        <v>0</v>
      </c>
      <c r="CN29" s="386">
        <v>0</v>
      </c>
      <c r="CO29" s="387">
        <f>SUM(CM29,CN29)</f>
        <v>0</v>
      </c>
      <c r="CP29" s="385">
        <v>0</v>
      </c>
      <c r="CQ29" s="386">
        <v>0</v>
      </c>
      <c r="CR29" s="387">
        <f>SUM(CP29,CQ29)</f>
        <v>0</v>
      </c>
      <c r="CS29" s="385">
        <v>0</v>
      </c>
      <c r="CT29" s="386">
        <v>0</v>
      </c>
      <c r="CU29" s="387">
        <f>SUM(CS29,CT29)</f>
        <v>0</v>
      </c>
      <c r="CV29" s="385">
        <v>0</v>
      </c>
      <c r="CW29" s="386">
        <v>0</v>
      </c>
      <c r="CX29" s="387">
        <f>SUM(CV29,CW29)</f>
        <v>0</v>
      </c>
    </row>
    <row r="30" spans="1:102">
      <c r="A30" s="376" t="str">
        <f>'HSZ do groszy'!A30</f>
        <v>pożyczka jessica</v>
      </c>
      <c r="B30" s="377">
        <f>ROUNDUP('HSZ do groszy'!B30,0)</f>
        <v>0</v>
      </c>
      <c r="C30" s="378">
        <f>ROUNDUP('HSZ do groszy'!C30,0)</f>
        <v>0</v>
      </c>
      <c r="D30" s="379">
        <f>ROUNDUP('HSZ do groszy'!D30,0)</f>
        <v>0</v>
      </c>
      <c r="E30" s="378">
        <f>SUM(M30,O30,Q30,S30,U30,W30,Y30,AA30,AC30,AE30,AG30,AI30,AK30,AM30,AO30,AQ30)</f>
        <v>10800000</v>
      </c>
      <c r="F30" s="378">
        <f>SUM(J30,L30,N30,P30,R30,T30,V30,X30,Z30,AB30,AD30,AF30,AH30,AJ30,AL30,AN30,AP30,AR30)</f>
        <v>2365192</v>
      </c>
      <c r="G30" s="378">
        <f>ROUNDUP('HSZ do groszy'!G30,0)</f>
        <v>0</v>
      </c>
      <c r="H30" s="379">
        <f>ROUNDUP('HSZ do groszy'!H30,0)</f>
        <v>0</v>
      </c>
      <c r="I30" s="378">
        <f>ROUNDUP('HSZ do groszy'!I30,0)</f>
        <v>0</v>
      </c>
      <c r="J30" s="379">
        <f>ROUNDUP('HSZ do groszy'!J30,0)</f>
        <v>237249</v>
      </c>
      <c r="K30" s="380">
        <f>ROUNDUP('HSZ do groszy'!K30,0)</f>
        <v>0</v>
      </c>
      <c r="L30" s="381">
        <f>ROUNDUP('HSZ do groszy'!L30,0)</f>
        <v>268755</v>
      </c>
      <c r="M30" s="378">
        <f>ROUNDUP('HSZ do groszy'!M30,0)</f>
        <v>830769</v>
      </c>
      <c r="N30" s="379">
        <f>ROUNDUP('HSZ do groszy'!N30,0)</f>
        <v>252606</v>
      </c>
      <c r="O30" s="380">
        <f>ROUNDUP('HSZ do groszy'!O30,0)</f>
        <v>830769</v>
      </c>
      <c r="P30" s="381">
        <f>ROUNDUP('HSZ do groszy'!P30,0)</f>
        <v>236035</v>
      </c>
      <c r="Q30" s="378">
        <f>ROUNDUP('HSZ do groszy'!Q30,0)</f>
        <v>830769</v>
      </c>
      <c r="R30" s="381">
        <f>ROUNDUP('HSZ do groszy'!R30,0)</f>
        <v>219031</v>
      </c>
      <c r="S30" s="380">
        <f>ROUNDUP('HSZ do groszy'!S30,0)</f>
        <v>830769</v>
      </c>
      <c r="T30" s="381">
        <f>ROUNDUP('HSZ do groszy'!T30,0)</f>
        <v>201584</v>
      </c>
      <c r="U30" s="378">
        <f>ROUNDUP('HSZ do groszy'!U30,0)</f>
        <v>830769</v>
      </c>
      <c r="V30" s="381">
        <f>ROUNDUP('HSZ do groszy'!V30,0)</f>
        <v>183682</v>
      </c>
      <c r="W30" s="380">
        <f>ROUNDUP('HSZ do groszy'!W30,0)</f>
        <v>830769</v>
      </c>
      <c r="X30" s="381">
        <f>ROUNDUP('HSZ do groszy'!X30,0)</f>
        <v>165312</v>
      </c>
      <c r="Y30" s="378">
        <f>ROUNDUP('HSZ do groszy'!Y30,0)</f>
        <v>830769</v>
      </c>
      <c r="Z30" s="381">
        <f>ROUNDUP('HSZ do groszy'!Z30,0)</f>
        <v>146463</v>
      </c>
      <c r="AA30" s="380">
        <f>ROUNDUP('HSZ do groszy'!AA30,0)</f>
        <v>830769</v>
      </c>
      <c r="AB30" s="381">
        <f>ROUNDUP('HSZ do groszy'!AB30,0)</f>
        <v>127122</v>
      </c>
      <c r="AC30" s="378">
        <f>ROUNDUP('HSZ do groszy'!AC30,0)</f>
        <v>830769</v>
      </c>
      <c r="AD30" s="381">
        <f>ROUNDUP('HSZ do groszy'!AD30,0)</f>
        <v>107275</v>
      </c>
      <c r="AE30" s="380">
        <f>ROUNDUP('HSZ do groszy'!AE30,0)</f>
        <v>830769</v>
      </c>
      <c r="AF30" s="381">
        <f>ROUNDUP('HSZ do groszy'!AF30,0)</f>
        <v>86912</v>
      </c>
      <c r="AG30" s="380">
        <f>ROUNDUP('HSZ do groszy'!AG30,0)</f>
        <v>830769</v>
      </c>
      <c r="AH30" s="381">
        <f>ROUNDUP('HSZ do groszy'!AH30,0)</f>
        <v>66016</v>
      </c>
      <c r="AI30" s="380">
        <f>ROUNDUP('HSZ do groszy'!AI30,0)</f>
        <v>830769</v>
      </c>
      <c r="AJ30" s="381">
        <f>ROUNDUP('HSZ do groszy'!AJ30,0)</f>
        <v>44575</v>
      </c>
      <c r="AK30" s="380">
        <f>ROUNDUP('HSZ do groszy'!AK30,0)</f>
        <v>830772</v>
      </c>
      <c r="AL30" s="381">
        <f>ROUNDUP('HSZ do groszy'!AL30,0)</f>
        <v>22575</v>
      </c>
      <c r="AM30" s="380">
        <f>ROUNDUP('HSZ do groszy'!AM30,0)</f>
        <v>0</v>
      </c>
      <c r="AN30" s="381">
        <f>ROUNDUP('HSZ do groszy'!AN30,0)</f>
        <v>0</v>
      </c>
      <c r="AO30" s="380">
        <f>ROUNDUP('HSZ do groszy'!AO30,0)</f>
        <v>0</v>
      </c>
      <c r="AP30" s="381">
        <f>ROUNDUP('HSZ do groszy'!AP30,0)</f>
        <v>0</v>
      </c>
      <c r="AQ30" s="380">
        <f>ROUNDUP('HSZ do groszy'!AQ30,0)</f>
        <v>0</v>
      </c>
      <c r="AR30" s="381">
        <f>ROUNDUP('HSZ do groszy'!AR30,0)</f>
        <v>0</v>
      </c>
      <c r="AS30" s="193"/>
      <c r="AT30" s="193"/>
      <c r="AU30" s="383" t="s">
        <v>375</v>
      </c>
      <c r="AV30" s="384">
        <f>B30</f>
        <v>0</v>
      </c>
      <c r="AW30" s="385">
        <v>0</v>
      </c>
      <c r="AX30" s="386"/>
      <c r="AY30" s="387"/>
      <c r="AZ30" s="385">
        <v>9090000</v>
      </c>
      <c r="BA30" s="386">
        <f>SUM($J30,$L30,$N30,$P30,$R30,$T30,$V30,$X30,$Z30,$AB30,$AD30,$AF30,$AH30,$AJ30,$AN30,$AP30,$AR30)</f>
        <v>2342617</v>
      </c>
      <c r="BB30" s="387"/>
      <c r="BC30" s="385">
        <f>SUM($M30,$O30,$Q30,$S30,$U30,$W30,$Y30,$AA30,$AC30,$AE30,$AG30,$AI30,$AK30,$AM30,$AO30,$AQ30)</f>
        <v>10800000</v>
      </c>
      <c r="BD30" s="386">
        <f>SUM($L30,$N30,$P30,$R30,$T30,$V30,$X30,$Z30,$AB30,$AD30,$AF30,$AH30,$AJ30,$AN30,$AP30,$AR30)</f>
        <v>2105368</v>
      </c>
      <c r="BE30" s="387"/>
      <c r="BF30" s="385">
        <f>SUM($O30,$Q30,$S30,$U30,$W30,$Y30,$AA30,$AC30,$AE30,$AG30,$AI30,$AK30,$AM30,$AO30,$AQ30)</f>
        <v>9969231</v>
      </c>
      <c r="BG30" s="386">
        <f>SUM($N30,$P30,$R30,$T30,$V30,$X30,$Z30,$AB30,$AD30,$AF30,$AH30,$AJ30,$AN30,$AP30,$AR30)</f>
        <v>1836613</v>
      </c>
      <c r="BH30" s="387">
        <f>SUM(BF30,BG30)</f>
        <v>11805844</v>
      </c>
      <c r="BI30" s="385">
        <f>SUM($Q30,$S30,$U30,$W30,$Y30,$AA30,$AC30,$AE30,$AG30,$AI30,$AK30,$AM30,$AO30,$AQ30)</f>
        <v>9138462</v>
      </c>
      <c r="BJ30" s="386">
        <f>SUM($P30,$R30,$T30,$V30,$X30,$Z30,$AB30,$AD30,$AF30,$AH30,$AJ30,$AN30,$AP30,$AR30)</f>
        <v>1584007</v>
      </c>
      <c r="BK30" s="387">
        <f>SUM(BI30,BJ30)</f>
        <v>10722469</v>
      </c>
      <c r="BL30" s="385">
        <f>SUM($S30,$U30,$W30,$Y30,$AA30,$AC30,$AE30,$AG30,$AI30,$AK30,$AM30,$AO30,$AQ30)</f>
        <v>8307693</v>
      </c>
      <c r="BM30" s="386">
        <f>SUM($R30,$T30,$V30,$X30,$Z30,$AB30,$AD30,$AF30,$AH30,$AJ30,$AN30,$AP30,$AR30)</f>
        <v>1347972</v>
      </c>
      <c r="BN30" s="387">
        <f>SUM(BL30,BM30)</f>
        <v>9655665</v>
      </c>
      <c r="BO30" s="385">
        <f>SUM($U30,$W30,$Y30,$AA30,$AC30,$AE30,$AG30,$AI30,$AK30,$AM30,$AO30,$AQ30)</f>
        <v>7476924</v>
      </c>
      <c r="BP30" s="386">
        <f>SUM($T30,$V30,$X30,$Z30,$AB30,$AD30,$AF30,$AH30,$AJ30,$AN30,$AP30,$AR30)</f>
        <v>1128941</v>
      </c>
      <c r="BQ30" s="387">
        <f>SUM(BO30,BP30)</f>
        <v>8605865</v>
      </c>
      <c r="BR30" s="385">
        <f>SUM($W30,$Y30,$AA30,$AC30,$AE30,$AG30,$AI30,$AK30,$AM30,$AO30,$AQ30)</f>
        <v>6646155</v>
      </c>
      <c r="BS30" s="386">
        <f>SUM($V30,$X30,$Z30,$AB30,$AD30,$AF30,$AH30,$AJ30,$AN30,$AP30,$AR30)</f>
        <v>927357</v>
      </c>
      <c r="BT30" s="387">
        <f>SUM(BR30,BS30)</f>
        <v>7573512</v>
      </c>
      <c r="BU30" s="385">
        <f>SUM($Y30,$AA30,$AC30,$AE30,$AG30,$AI30,$AK30,$AM30,$AO30,$AQ30)</f>
        <v>5815386</v>
      </c>
      <c r="BV30" s="386">
        <f>SUM($X30,$Z30,$AB30,$AD30,$AF30,$AH30,$AJ30,$AN30,$AP30,$AR30)</f>
        <v>743675</v>
      </c>
      <c r="BW30" s="387">
        <f>SUM(BU30,BV30)</f>
        <v>6559061</v>
      </c>
      <c r="BX30" s="385">
        <f>SUM($AA30,$AC30,$AE30,$AG30,$AI30,$AK30,$AM30,$AO30,$AQ30)</f>
        <v>4984617</v>
      </c>
      <c r="BY30" s="386">
        <f>SUM($Z30,$AB30,$AD30,$AF30,$AH30,$AJ30,$AN30,$AP30,$AR30)</f>
        <v>578363</v>
      </c>
      <c r="BZ30" s="387">
        <f>SUM(BX30,BY30)</f>
        <v>5562980</v>
      </c>
      <c r="CA30" s="385">
        <f>SUM($AC30,$AE30,$AG30,$AI30,$AK30,$AM30,$AO30,$AQ30)</f>
        <v>4153848</v>
      </c>
      <c r="CB30" s="386">
        <f>SUM($AB30,$AD30,$AF30,$AH30,$AJ30,$AN30,$AP30,$AR30)</f>
        <v>431900</v>
      </c>
      <c r="CC30" s="387">
        <f>SUM(CA30,CB30)</f>
        <v>4585748</v>
      </c>
      <c r="CD30" s="385">
        <f>SUM($AE30,$AG30,$AI30,$AK30,$AM30,$AO30,$AQ30)</f>
        <v>3323079</v>
      </c>
      <c r="CE30" s="386">
        <f>SUM($AD30,$AF30,$AH30,$AJ30,$AN30,$AP30,$AR30)</f>
        <v>304778</v>
      </c>
      <c r="CF30" s="387">
        <f>SUM(CD30,CE30)</f>
        <v>3627857</v>
      </c>
      <c r="CG30" s="385">
        <f>SUM($AG30,$AI30,$AK30,$AM30,$AO30,$AQ30)</f>
        <v>2492310</v>
      </c>
      <c r="CH30" s="386">
        <f>SUM($AF30,$AH30,$AJ30,$AN30,$AP30,$AR30)</f>
        <v>197503</v>
      </c>
      <c r="CI30" s="387">
        <f>SUM(CG30,CH30)</f>
        <v>2689813</v>
      </c>
      <c r="CJ30" s="385">
        <f>SUM($AI30,$AK30,$AM30,$AO30,$AQ30)</f>
        <v>1661541</v>
      </c>
      <c r="CK30" s="386">
        <f>SUM($AH30,$AJ30,$AN30,$AP30,$AR30)</f>
        <v>110591</v>
      </c>
      <c r="CL30" s="387">
        <f>SUM(CJ30,CK30)</f>
        <v>1772132</v>
      </c>
      <c r="CM30" s="385">
        <f>SUM($AK30,$AM30,$AO30,$AQ30)</f>
        <v>830772</v>
      </c>
      <c r="CN30" s="386">
        <f>SUM($AJ30,$AN30,$AP30,$AR30)</f>
        <v>44575</v>
      </c>
      <c r="CO30" s="387">
        <f>SUM(CM30,CN30)</f>
        <v>875347</v>
      </c>
      <c r="CP30" s="385">
        <f>SUM($AM30,$AO30,$AQ30)</f>
        <v>0</v>
      </c>
      <c r="CQ30" s="386">
        <f>SUM($AN30,$AP30,$AR30)</f>
        <v>0</v>
      </c>
      <c r="CR30" s="387">
        <f>SUM(CP30,CQ30)</f>
        <v>0</v>
      </c>
      <c r="CS30" s="385">
        <f>SUM($AO30,$AQ30)</f>
        <v>0</v>
      </c>
      <c r="CT30" s="386">
        <f>SUM($AP30,$AR30)</f>
        <v>0</v>
      </c>
      <c r="CU30" s="387">
        <f>SUM(CS30,CT30)</f>
        <v>0</v>
      </c>
      <c r="CV30" s="385">
        <f>SUM($AQ30)</f>
        <v>0</v>
      </c>
      <c r="CW30" s="386">
        <f>SUM($AR30)</f>
        <v>0</v>
      </c>
      <c r="CX30" s="387">
        <f>SUM(CV30,CW30)</f>
        <v>0</v>
      </c>
    </row>
    <row r="31" spans="1:102" ht="13.5" thickBot="1">
      <c r="A31" s="390" t="s">
        <v>275</v>
      </c>
      <c r="B31" s="391">
        <f>SUM(B14:B29)</f>
        <v>5721941</v>
      </c>
      <c r="C31" s="358">
        <f>SUM(C14:C29)</f>
        <v>670898</v>
      </c>
      <c r="D31" s="359">
        <f>SUM(D14:D29)</f>
        <v>114815</v>
      </c>
      <c r="E31" s="358">
        <f>SUM(E14:E29)</f>
        <v>9122986</v>
      </c>
      <c r="F31" s="359">
        <f>SUM(F14:F29)</f>
        <v>3439591</v>
      </c>
      <c r="G31" s="358">
        <f t="shared" ref="G31:AR31" si="67">SUM(G14:G30)</f>
        <v>698867</v>
      </c>
      <c r="H31" s="359">
        <f t="shared" si="67"/>
        <v>76571</v>
      </c>
      <c r="I31" s="358">
        <f t="shared" si="67"/>
        <v>660865</v>
      </c>
      <c r="J31" s="359">
        <f t="shared" si="67"/>
        <v>294826</v>
      </c>
      <c r="K31" s="358">
        <f t="shared" si="67"/>
        <v>601396</v>
      </c>
      <c r="L31" s="359">
        <f>SUM(L14:L30)</f>
        <v>484819</v>
      </c>
      <c r="M31" s="358">
        <f t="shared" si="67"/>
        <v>1276341</v>
      </c>
      <c r="N31" s="359">
        <f t="shared" si="67"/>
        <v>714238</v>
      </c>
      <c r="O31" s="358">
        <f t="shared" si="67"/>
        <v>1649637</v>
      </c>
      <c r="P31" s="359">
        <f t="shared" si="67"/>
        <v>725545</v>
      </c>
      <c r="Q31" s="358">
        <f t="shared" si="67"/>
        <v>1620325</v>
      </c>
      <c r="R31" s="359">
        <f t="shared" si="67"/>
        <v>654836</v>
      </c>
      <c r="S31" s="358">
        <f t="shared" si="67"/>
        <v>1569330</v>
      </c>
      <c r="T31" s="359">
        <f t="shared" si="67"/>
        <v>584835</v>
      </c>
      <c r="U31" s="358">
        <f t="shared" si="67"/>
        <v>1472512</v>
      </c>
      <c r="V31" s="359">
        <f t="shared" si="67"/>
        <v>516570</v>
      </c>
      <c r="W31" s="358">
        <f t="shared" si="67"/>
        <v>1452169</v>
      </c>
      <c r="X31" s="359">
        <f t="shared" si="67"/>
        <v>450019</v>
      </c>
      <c r="Y31" s="358">
        <f t="shared" si="67"/>
        <v>1452169</v>
      </c>
      <c r="Z31" s="359">
        <f t="shared" si="67"/>
        <v>383039</v>
      </c>
      <c r="AA31" s="358">
        <f t="shared" si="67"/>
        <v>1452169</v>
      </c>
      <c r="AB31" s="359">
        <f t="shared" si="67"/>
        <v>315568</v>
      </c>
      <c r="AC31" s="358">
        <f t="shared" si="67"/>
        <v>1452169</v>
      </c>
      <c r="AD31" s="359">
        <f t="shared" si="67"/>
        <v>247592</v>
      </c>
      <c r="AE31" s="358">
        <f t="shared" si="67"/>
        <v>1452169</v>
      </c>
      <c r="AF31" s="359">
        <f t="shared" si="67"/>
        <v>179098</v>
      </c>
      <c r="AG31" s="358">
        <f t="shared" si="67"/>
        <v>1451327</v>
      </c>
      <c r="AH31" s="359">
        <f t="shared" si="67"/>
        <v>110077</v>
      </c>
      <c r="AI31" s="358">
        <f t="shared" si="67"/>
        <v>830769</v>
      </c>
      <c r="AJ31" s="359">
        <f t="shared" si="67"/>
        <v>44575</v>
      </c>
      <c r="AK31" s="358">
        <f t="shared" si="67"/>
        <v>830772</v>
      </c>
      <c r="AL31" s="359">
        <f t="shared" si="67"/>
        <v>22575</v>
      </c>
      <c r="AM31" s="358">
        <f t="shared" si="67"/>
        <v>0</v>
      </c>
      <c r="AN31" s="359">
        <f t="shared" si="67"/>
        <v>0</v>
      </c>
      <c r="AO31" s="358">
        <f t="shared" si="67"/>
        <v>0</v>
      </c>
      <c r="AP31" s="359">
        <f t="shared" si="67"/>
        <v>0</v>
      </c>
      <c r="AQ31" s="358">
        <f t="shared" si="67"/>
        <v>0</v>
      </c>
      <c r="AR31" s="359">
        <f t="shared" si="67"/>
        <v>0</v>
      </c>
      <c r="AS31" s="193"/>
      <c r="AT31" s="193"/>
      <c r="AU31" s="363" t="s">
        <v>275</v>
      </c>
      <c r="AV31" s="392">
        <f>SUM(AV14:AV30)</f>
        <v>5721941</v>
      </c>
      <c r="AW31" s="365">
        <f>SUM(AW14:AW30)</f>
        <v>2210961</v>
      </c>
      <c r="AX31" s="366">
        <f>SUM(AX14:AX30)</f>
        <v>140784</v>
      </c>
      <c r="AY31" s="393">
        <f>SUM(AW31,AX31)</f>
        <v>2351745</v>
      </c>
      <c r="AZ31" s="775">
        <f>SUM(AZ14:AZ30)</f>
        <v>12925412</v>
      </c>
      <c r="BA31" s="366">
        <f>SUM(BA14:BA30)</f>
        <v>3738640</v>
      </c>
      <c r="BB31" s="393">
        <f>SUM(BB14:BB17)</f>
        <v>747291</v>
      </c>
      <c r="BC31" s="775">
        <f>SUM(BC14:BC30)</f>
        <v>17413971</v>
      </c>
      <c r="BD31" s="366">
        <f>SUM(BD14:BD30)</f>
        <v>4965171</v>
      </c>
      <c r="BE31" s="393">
        <f>SUM(BC31,BD31)</f>
        <v>22379142</v>
      </c>
      <c r="BF31" s="775">
        <f>SUM(BF14:BF30)</f>
        <v>16685515</v>
      </c>
      <c r="BG31" s="366">
        <f>SUM(BG14:BG30)</f>
        <v>4464360</v>
      </c>
      <c r="BH31" s="393">
        <f>SUM(BF31:BG31)</f>
        <v>21149875</v>
      </c>
      <c r="BI31" s="775">
        <f>SUM(BI14:BI30)</f>
        <v>15035878</v>
      </c>
      <c r="BJ31" s="366">
        <f>SUM(BJ14:BJ30)</f>
        <v>3722244</v>
      </c>
      <c r="BK31" s="393">
        <f>SUM(BI31:BJ31)</f>
        <v>18758122</v>
      </c>
      <c r="BL31" s="775">
        <f>SUM(BL14:BL30)</f>
        <v>13415553</v>
      </c>
      <c r="BM31" s="366">
        <f>SUM(BM14:BM30)</f>
        <v>3050404</v>
      </c>
      <c r="BN31" s="393">
        <f>SUM(BL31:BM31)</f>
        <v>16465957</v>
      </c>
      <c r="BO31" s="775">
        <f>SUM(BO14:BO30)</f>
        <v>11846223</v>
      </c>
      <c r="BP31" s="366">
        <f>SUM(BP14:BP30)</f>
        <v>2448122</v>
      </c>
      <c r="BQ31" s="393">
        <f>SUM(BO31:BP31)</f>
        <v>14294345</v>
      </c>
      <c r="BR31" s="775">
        <f>SUM(BR14:BR30)</f>
        <v>10373713</v>
      </c>
      <c r="BS31" s="366">
        <f>SUM(BS14:BS30)</f>
        <v>1913650</v>
      </c>
      <c r="BT31" s="393">
        <f>SUM(BR31:BS31)</f>
        <v>12287363</v>
      </c>
      <c r="BU31" s="775">
        <f>SUM(BU14:BU30)</f>
        <v>8921544</v>
      </c>
      <c r="BV31" s="366">
        <f>SUM(BV14:BV30)</f>
        <v>1445261</v>
      </c>
      <c r="BW31" s="393">
        <f>SUM(BU31:BV31)</f>
        <v>10366805</v>
      </c>
      <c r="BX31" s="775">
        <f>SUM(BX14:BX30)</f>
        <v>7469375</v>
      </c>
      <c r="BY31" s="366">
        <f>SUM(BY14:BY30)</f>
        <v>1043373</v>
      </c>
      <c r="BZ31" s="393">
        <f>SUM(BX31:BY31)</f>
        <v>8512748</v>
      </c>
      <c r="CA31" s="775">
        <f>SUM(CA14:CA30)</f>
        <v>6017206</v>
      </c>
      <c r="CB31" s="366">
        <f>SUM(CB14:CB30)</f>
        <v>708464</v>
      </c>
      <c r="CC31" s="393">
        <f>SUM(CA31:CB31)</f>
        <v>6725670</v>
      </c>
      <c r="CD31" s="775">
        <f>SUM(CD14:CD30)</f>
        <v>4565037</v>
      </c>
      <c r="CE31" s="366">
        <f>SUM(CE14:CE30)</f>
        <v>441025</v>
      </c>
      <c r="CF31" s="393">
        <f>SUM(CD31:CE31)</f>
        <v>5006062</v>
      </c>
      <c r="CG31" s="775">
        <f>SUM(CG14:CG30)</f>
        <v>3112868</v>
      </c>
      <c r="CH31" s="366">
        <f>SUM(CH14:CH30)</f>
        <v>241564</v>
      </c>
      <c r="CI31" s="393">
        <f>SUM(CG31:CH31)</f>
        <v>3354432</v>
      </c>
      <c r="CJ31" s="775">
        <f>SUM(CJ14:CJ30)</f>
        <v>1661541</v>
      </c>
      <c r="CK31" s="366">
        <f>SUM(CK14:CK30)</f>
        <v>110591</v>
      </c>
      <c r="CL31" s="393">
        <f>SUM(CJ31:CK31)</f>
        <v>1772132</v>
      </c>
      <c r="CM31" s="775">
        <f>SUM(CM14:CM30)</f>
        <v>830772</v>
      </c>
      <c r="CN31" s="366">
        <f>SUM(CN14:CN30)</f>
        <v>44575</v>
      </c>
      <c r="CO31" s="393">
        <f>SUM(CM31:CN31)</f>
        <v>875347</v>
      </c>
      <c r="CP31" s="775">
        <f>SUM(CP14:CP30)</f>
        <v>0</v>
      </c>
      <c r="CQ31" s="366">
        <f>SUM(CQ14:CQ30)</f>
        <v>0</v>
      </c>
      <c r="CR31" s="393">
        <f>SUM(CP31:CQ31)</f>
        <v>0</v>
      </c>
      <c r="CS31" s="775">
        <f>SUM(CS14:CS30)</f>
        <v>0</v>
      </c>
      <c r="CT31" s="366">
        <f>SUM(CT14:CT30)</f>
        <v>0</v>
      </c>
      <c r="CU31" s="393">
        <f>SUM(CS31:CT31)</f>
        <v>0</v>
      </c>
      <c r="CV31" s="775">
        <f>SUM(CV14:CV30)</f>
        <v>0</v>
      </c>
      <c r="CW31" s="366">
        <f>SUM(CW14:CW30)</f>
        <v>0</v>
      </c>
      <c r="CX31" s="393">
        <f>SUM(CV31:CW31)</f>
        <v>0</v>
      </c>
    </row>
    <row r="32" spans="1:102" ht="13.5">
      <c r="A32" s="394"/>
      <c r="B32" s="395" t="s">
        <v>272</v>
      </c>
      <c r="C32" s="1607">
        <f>SUM(C31,D31)</f>
        <v>785713</v>
      </c>
      <c r="D32" s="1608"/>
      <c r="E32" s="1607">
        <f>SUM(E31,F31)</f>
        <v>12562577</v>
      </c>
      <c r="F32" s="1608"/>
      <c r="G32" s="1607">
        <f>SUM(G31,H31)</f>
        <v>775438</v>
      </c>
      <c r="H32" s="1608"/>
      <c r="I32" s="1607">
        <f>SUM(I31,J31)</f>
        <v>955691</v>
      </c>
      <c r="J32" s="1608"/>
      <c r="K32" s="1605">
        <f>SUM(K31,L31)</f>
        <v>1086215</v>
      </c>
      <c r="L32" s="1606"/>
      <c r="M32" s="1607">
        <f>SUM(M31,N31)</f>
        <v>1990579</v>
      </c>
      <c r="N32" s="1608"/>
      <c r="O32" s="1605">
        <f>SUM(O31,P31)</f>
        <v>2375182</v>
      </c>
      <c r="P32" s="1606"/>
      <c r="Q32" s="1607">
        <f>SUM(Q31,R31)</f>
        <v>2275161</v>
      </c>
      <c r="R32" s="1608"/>
      <c r="S32" s="1605">
        <f>SUM(S31,T31)</f>
        <v>2154165</v>
      </c>
      <c r="T32" s="1606"/>
      <c r="U32" s="1607">
        <f>SUM(U31,V31)</f>
        <v>1989082</v>
      </c>
      <c r="V32" s="1608"/>
      <c r="W32" s="1605">
        <f>SUM(W31,X31)</f>
        <v>1902188</v>
      </c>
      <c r="X32" s="1606"/>
      <c r="Y32" s="1607">
        <f>SUM(Y31,Z31)</f>
        <v>1835208</v>
      </c>
      <c r="Z32" s="1608"/>
      <c r="AA32" s="1605">
        <f>SUM(AA31,AB31)</f>
        <v>1767737</v>
      </c>
      <c r="AB32" s="1606"/>
      <c r="AC32" s="1607">
        <f>SUM(AC31,AD31)</f>
        <v>1699761</v>
      </c>
      <c r="AD32" s="1608"/>
      <c r="AE32" s="1605">
        <f>SUM(AE31,AF31)</f>
        <v>1631267</v>
      </c>
      <c r="AF32" s="1608"/>
      <c r="AG32" s="1605">
        <f>SUM(AG31,AH31)</f>
        <v>1561404</v>
      </c>
      <c r="AH32" s="1609"/>
      <c r="AI32" s="1605">
        <f>SUM(AI31,AJ31)</f>
        <v>875344</v>
      </c>
      <c r="AJ32" s="1609"/>
      <c r="AK32" s="1605">
        <f>SUM(AK31,AL31)</f>
        <v>853347</v>
      </c>
      <c r="AL32" s="1609"/>
      <c r="AM32" s="1605">
        <f>SUM(AM31,AN31)</f>
        <v>0</v>
      </c>
      <c r="AN32" s="1609"/>
      <c r="AO32" s="1605">
        <f>SUM(AO31,AP31)</f>
        <v>0</v>
      </c>
      <c r="AP32" s="1609"/>
      <c r="AQ32" s="1605">
        <f>SUM(AQ31,AR31)</f>
        <v>0</v>
      </c>
      <c r="AR32" s="1609"/>
      <c r="AS32" s="193"/>
      <c r="AT32" s="193"/>
      <c r="AU32" s="337"/>
      <c r="AV32" s="337"/>
      <c r="AW32" s="396"/>
      <c r="AX32" s="397"/>
      <c r="AY32" s="398"/>
      <c r="AZ32" s="399"/>
      <c r="BA32" s="400"/>
      <c r="BB32" s="401"/>
      <c r="BC32" s="399"/>
      <c r="BD32" s="400"/>
      <c r="BE32" s="401"/>
      <c r="BF32" s="399"/>
      <c r="BG32" s="400"/>
      <c r="BH32" s="401"/>
      <c r="BI32" s="399"/>
      <c r="BJ32" s="400"/>
      <c r="BK32" s="401"/>
      <c r="BL32" s="399"/>
      <c r="BM32" s="400"/>
      <c r="BN32" s="401"/>
      <c r="BO32" s="399"/>
      <c r="BP32" s="400"/>
      <c r="BQ32" s="401"/>
      <c r="BR32" s="399"/>
      <c r="BS32" s="400"/>
      <c r="BT32" s="401"/>
      <c r="BU32" s="399"/>
      <c r="BV32" s="400"/>
      <c r="BW32" s="401"/>
      <c r="BX32" s="399"/>
      <c r="BY32" s="400"/>
      <c r="BZ32" s="401"/>
      <c r="CA32" s="399"/>
      <c r="CB32" s="400"/>
      <c r="CC32" s="401"/>
      <c r="CD32" s="399"/>
      <c r="CE32" s="400"/>
      <c r="CF32" s="401"/>
      <c r="CG32" s="399"/>
      <c r="CH32" s="400"/>
      <c r="CI32" s="401"/>
      <c r="CJ32" s="399"/>
      <c r="CK32" s="400"/>
      <c r="CL32" s="401"/>
      <c r="CM32" s="399"/>
      <c r="CN32" s="400"/>
      <c r="CO32" s="401"/>
      <c r="CP32" s="399"/>
      <c r="CQ32" s="400"/>
      <c r="CR32" s="401"/>
      <c r="CS32" s="399"/>
      <c r="CT32" s="400"/>
      <c r="CU32" s="401"/>
      <c r="CV32" s="399"/>
      <c r="CW32" s="400"/>
      <c r="CX32" s="401"/>
    </row>
    <row r="33" spans="1:102">
      <c r="A33" s="1610" t="s">
        <v>276</v>
      </c>
      <c r="B33" s="1611"/>
      <c r="C33" s="402">
        <f t="shared" ref="C33:AR33" si="68">SUM(C11,C31)</f>
        <v>670898</v>
      </c>
      <c r="D33" s="403">
        <f t="shared" si="68"/>
        <v>114815</v>
      </c>
      <c r="E33" s="402">
        <f t="shared" si="68"/>
        <v>13322986</v>
      </c>
      <c r="F33" s="403">
        <f t="shared" si="68"/>
        <v>5660458</v>
      </c>
      <c r="G33" s="402">
        <f t="shared" si="68"/>
        <v>698867</v>
      </c>
      <c r="H33" s="403">
        <f t="shared" si="68"/>
        <v>76571</v>
      </c>
      <c r="I33" s="402">
        <f t="shared" si="68"/>
        <v>660865</v>
      </c>
      <c r="J33" s="403">
        <f t="shared" si="68"/>
        <v>337094</v>
      </c>
      <c r="K33" s="404">
        <f t="shared" si="68"/>
        <v>601396</v>
      </c>
      <c r="L33" s="405">
        <f t="shared" si="68"/>
        <v>772893</v>
      </c>
      <c r="M33" s="402">
        <f t="shared" si="68"/>
        <v>1599418</v>
      </c>
      <c r="N33" s="403">
        <f t="shared" si="68"/>
        <v>955180</v>
      </c>
      <c r="O33" s="404">
        <f t="shared" si="68"/>
        <v>1972714</v>
      </c>
      <c r="P33" s="405">
        <f t="shared" si="68"/>
        <v>953968</v>
      </c>
      <c r="Q33" s="402">
        <f t="shared" si="68"/>
        <v>1943402</v>
      </c>
      <c r="R33" s="403">
        <f t="shared" si="68"/>
        <v>869953</v>
      </c>
      <c r="S33" s="404">
        <f t="shared" si="68"/>
        <v>1892407</v>
      </c>
      <c r="T33" s="405">
        <f t="shared" si="68"/>
        <v>785808</v>
      </c>
      <c r="U33" s="402">
        <f t="shared" si="68"/>
        <v>1795589</v>
      </c>
      <c r="V33" s="403">
        <f t="shared" si="68"/>
        <v>702509</v>
      </c>
      <c r="W33" s="404">
        <f t="shared" si="68"/>
        <v>1775246</v>
      </c>
      <c r="X33" s="405">
        <f t="shared" si="68"/>
        <v>619978</v>
      </c>
      <c r="Y33" s="402">
        <f t="shared" si="68"/>
        <v>1775246</v>
      </c>
      <c r="Z33" s="403">
        <f t="shared" si="68"/>
        <v>536010</v>
      </c>
      <c r="AA33" s="404">
        <f t="shared" si="68"/>
        <v>1775246</v>
      </c>
      <c r="AB33" s="405">
        <f t="shared" si="68"/>
        <v>450482</v>
      </c>
      <c r="AC33" s="402">
        <f t="shared" si="68"/>
        <v>1775246</v>
      </c>
      <c r="AD33" s="403">
        <f t="shared" si="68"/>
        <v>363312</v>
      </c>
      <c r="AE33" s="404">
        <f t="shared" si="68"/>
        <v>1775246</v>
      </c>
      <c r="AF33" s="403">
        <f t="shared" si="68"/>
        <v>274414</v>
      </c>
      <c r="AG33" s="404">
        <f t="shared" si="68"/>
        <v>1774404</v>
      </c>
      <c r="AH33" s="406">
        <f t="shared" si="68"/>
        <v>183703</v>
      </c>
      <c r="AI33" s="404">
        <f t="shared" si="68"/>
        <v>1153846</v>
      </c>
      <c r="AJ33" s="406">
        <f t="shared" si="68"/>
        <v>95143</v>
      </c>
      <c r="AK33" s="404">
        <f t="shared" si="68"/>
        <v>1153848</v>
      </c>
      <c r="AL33" s="406">
        <f t="shared" si="68"/>
        <v>48632</v>
      </c>
      <c r="AM33" s="404">
        <f t="shared" si="68"/>
        <v>0</v>
      </c>
      <c r="AN33" s="406">
        <f t="shared" si="68"/>
        <v>0</v>
      </c>
      <c r="AO33" s="404">
        <f t="shared" si="68"/>
        <v>0</v>
      </c>
      <c r="AP33" s="406">
        <f t="shared" si="68"/>
        <v>0</v>
      </c>
      <c r="AQ33" s="404">
        <f t="shared" si="68"/>
        <v>0</v>
      </c>
      <c r="AR33" s="406">
        <f t="shared" si="68"/>
        <v>0</v>
      </c>
      <c r="AS33" s="193"/>
      <c r="AT33" s="193"/>
      <c r="AU33" s="407" t="s">
        <v>276</v>
      </c>
      <c r="AV33" s="408"/>
      <c r="AW33" s="409">
        <f t="shared" ref="AW33:CB33" si="69">SUM(AW11+AW31)</f>
        <v>2210961</v>
      </c>
      <c r="AX33" s="410">
        <f t="shared" si="69"/>
        <v>140784</v>
      </c>
      <c r="AY33" s="411">
        <f t="shared" si="69"/>
        <v>2351745</v>
      </c>
      <c r="AZ33" s="409">
        <f t="shared" si="69"/>
        <v>13517412</v>
      </c>
      <c r="BA33" s="410">
        <f t="shared" si="69"/>
        <v>5840614</v>
      </c>
      <c r="BB33" s="411">
        <f t="shared" si="69"/>
        <v>3441265</v>
      </c>
      <c r="BC33" s="409">
        <f t="shared" si="69"/>
        <v>21613971</v>
      </c>
      <c r="BD33" s="410">
        <f t="shared" si="69"/>
        <v>6779071</v>
      </c>
      <c r="BE33" s="411">
        <f t="shared" si="69"/>
        <v>28393042</v>
      </c>
      <c r="BF33" s="409">
        <f t="shared" si="69"/>
        <v>20562438</v>
      </c>
      <c r="BG33" s="410">
        <f t="shared" si="69"/>
        <v>6037318</v>
      </c>
      <c r="BH33" s="411">
        <f t="shared" si="69"/>
        <v>26599756</v>
      </c>
      <c r="BI33" s="409">
        <f t="shared" si="69"/>
        <v>18589724</v>
      </c>
      <c r="BJ33" s="410">
        <f t="shared" si="69"/>
        <v>5066779</v>
      </c>
      <c r="BK33" s="411">
        <f t="shared" si="69"/>
        <v>23656503</v>
      </c>
      <c r="BL33" s="409">
        <f t="shared" si="69"/>
        <v>16646322</v>
      </c>
      <c r="BM33" s="410">
        <f t="shared" si="69"/>
        <v>4179822</v>
      </c>
      <c r="BN33" s="411">
        <f t="shared" si="69"/>
        <v>20826144</v>
      </c>
      <c r="BO33" s="409">
        <f t="shared" si="69"/>
        <v>14753915</v>
      </c>
      <c r="BP33" s="410">
        <f t="shared" si="69"/>
        <v>3376567</v>
      </c>
      <c r="BQ33" s="411">
        <f t="shared" si="69"/>
        <v>18130482</v>
      </c>
      <c r="BR33" s="409">
        <f t="shared" si="69"/>
        <v>12958328</v>
      </c>
      <c r="BS33" s="410">
        <f t="shared" si="69"/>
        <v>2656156</v>
      </c>
      <c r="BT33" s="411">
        <f t="shared" si="69"/>
        <v>15614484</v>
      </c>
      <c r="BU33" s="409">
        <f t="shared" si="69"/>
        <v>11183082</v>
      </c>
      <c r="BV33" s="410">
        <f t="shared" si="69"/>
        <v>2017808</v>
      </c>
      <c r="BW33" s="411">
        <f t="shared" si="69"/>
        <v>13200890</v>
      </c>
      <c r="BX33" s="409">
        <f t="shared" si="69"/>
        <v>9407836</v>
      </c>
      <c r="BY33" s="410">
        <f t="shared" si="69"/>
        <v>1462949</v>
      </c>
      <c r="BZ33" s="411">
        <f t="shared" si="69"/>
        <v>10870785</v>
      </c>
      <c r="CA33" s="409">
        <f t="shared" si="69"/>
        <v>7632590</v>
      </c>
      <c r="CB33" s="410">
        <f t="shared" si="69"/>
        <v>993126</v>
      </c>
      <c r="CC33" s="411">
        <f t="shared" ref="CC33:CX33" si="70">SUM(CC11+CC31)</f>
        <v>8625716</v>
      </c>
      <c r="CD33" s="409">
        <f t="shared" si="70"/>
        <v>5857344</v>
      </c>
      <c r="CE33" s="410">
        <f t="shared" si="70"/>
        <v>609967</v>
      </c>
      <c r="CF33" s="411">
        <f t="shared" si="70"/>
        <v>6467311</v>
      </c>
      <c r="CG33" s="409">
        <f t="shared" si="70"/>
        <v>4082098</v>
      </c>
      <c r="CH33" s="410">
        <f t="shared" si="70"/>
        <v>315190</v>
      </c>
      <c r="CI33" s="411">
        <f t="shared" si="70"/>
        <v>4397288</v>
      </c>
      <c r="CJ33" s="409">
        <f t="shared" si="70"/>
        <v>2307694</v>
      </c>
      <c r="CK33" s="410">
        <f t="shared" si="70"/>
        <v>184217</v>
      </c>
      <c r="CL33" s="411">
        <f t="shared" si="70"/>
        <v>2491911</v>
      </c>
      <c r="CM33" s="409">
        <f t="shared" si="70"/>
        <v>1153848</v>
      </c>
      <c r="CN33" s="410">
        <f t="shared" si="70"/>
        <v>118201</v>
      </c>
      <c r="CO33" s="411">
        <f t="shared" si="70"/>
        <v>1272049</v>
      </c>
      <c r="CP33" s="409">
        <f t="shared" si="70"/>
        <v>0</v>
      </c>
      <c r="CQ33" s="410">
        <f t="shared" si="70"/>
        <v>73626</v>
      </c>
      <c r="CR33" s="411">
        <f t="shared" si="70"/>
        <v>73626</v>
      </c>
      <c r="CS33" s="409">
        <f t="shared" si="70"/>
        <v>0</v>
      </c>
      <c r="CT33" s="410">
        <f t="shared" si="70"/>
        <v>73626</v>
      </c>
      <c r="CU33" s="411">
        <f t="shared" si="70"/>
        <v>73626</v>
      </c>
      <c r="CV33" s="409">
        <f t="shared" si="70"/>
        <v>0</v>
      </c>
      <c r="CW33" s="410">
        <f t="shared" si="70"/>
        <v>73626</v>
      </c>
      <c r="CX33" s="411">
        <f t="shared" si="70"/>
        <v>73626</v>
      </c>
    </row>
    <row r="34" spans="1:102" ht="13.5" thickBot="1">
      <c r="A34" s="1612" t="s">
        <v>277</v>
      </c>
      <c r="B34" s="1613"/>
      <c r="C34" s="1602">
        <f>SUM(C33,D33)</f>
        <v>785713</v>
      </c>
      <c r="D34" s="1603"/>
      <c r="E34" s="412"/>
      <c r="F34" s="413"/>
      <c r="G34" s="1602">
        <f>SUM(G33,H33)</f>
        <v>775438</v>
      </c>
      <c r="H34" s="1603"/>
      <c r="I34" s="1602">
        <f>SUM(I33,J33)</f>
        <v>997959</v>
      </c>
      <c r="J34" s="1603"/>
      <c r="K34" s="1600">
        <f>SUM(K33,L33)</f>
        <v>1374289</v>
      </c>
      <c r="L34" s="1601"/>
      <c r="M34" s="1602">
        <f>SUM(M33,N33)</f>
        <v>2554598</v>
      </c>
      <c r="N34" s="1603"/>
      <c r="O34" s="1600">
        <f>SUM(O33,P33)</f>
        <v>2926682</v>
      </c>
      <c r="P34" s="1601"/>
      <c r="Q34" s="1602">
        <f>SUM(Q33,R33)</f>
        <v>2813355</v>
      </c>
      <c r="R34" s="1603"/>
      <c r="S34" s="414"/>
      <c r="T34" s="415"/>
      <c r="U34" s="1602">
        <f>SUM(U33,V33)</f>
        <v>2498098</v>
      </c>
      <c r="V34" s="1603"/>
      <c r="W34" s="1600">
        <f>SUM(W33,X33)</f>
        <v>2395224</v>
      </c>
      <c r="X34" s="1601"/>
      <c r="Y34" s="1602">
        <f>SUM(Y33,Z33)</f>
        <v>2311256</v>
      </c>
      <c r="Z34" s="1603"/>
      <c r="AA34" s="1600">
        <f>SUM(AA33,AB33)</f>
        <v>2225728</v>
      </c>
      <c r="AB34" s="1601"/>
      <c r="AC34" s="1602">
        <f>SUM(AC33,AD33)</f>
        <v>2138558</v>
      </c>
      <c r="AD34" s="1603"/>
      <c r="AE34" s="1600">
        <f>SUM(AE33,AF33)</f>
        <v>2049660</v>
      </c>
      <c r="AF34" s="1603"/>
      <c r="AG34" s="1600">
        <f>SUM(AG33,AH33)</f>
        <v>1958107</v>
      </c>
      <c r="AH34" s="1604"/>
      <c r="AI34" s="1600">
        <f>SUM(AI33,AJ33)</f>
        <v>1248989</v>
      </c>
      <c r="AJ34" s="1604"/>
      <c r="AK34" s="1600">
        <f>SUM(AK33,AL33)</f>
        <v>1202480</v>
      </c>
      <c r="AL34" s="1604"/>
      <c r="AM34" s="1600">
        <f>SUM(AM33,AN33)</f>
        <v>0</v>
      </c>
      <c r="AN34" s="1604"/>
      <c r="AO34" s="1600">
        <f>SUM(AO33,AP33)</f>
        <v>0</v>
      </c>
      <c r="AP34" s="1604"/>
      <c r="AQ34" s="1600">
        <f>SUM(AQ33,AR33)</f>
        <v>0</v>
      </c>
      <c r="AR34" s="1604"/>
      <c r="AS34" s="193"/>
      <c r="AT34" s="193"/>
      <c r="AU34" s="337"/>
      <c r="AV34" s="337"/>
      <c r="AW34" s="1592"/>
      <c r="AX34" s="1593"/>
      <c r="AY34" s="1594"/>
      <c r="AZ34" s="1592"/>
      <c r="BA34" s="1593"/>
      <c r="BB34" s="1594"/>
      <c r="BC34" s="1592"/>
      <c r="BD34" s="1593"/>
      <c r="BE34" s="1594"/>
      <c r="BF34" s="1592"/>
      <c r="BG34" s="1593"/>
      <c r="BH34" s="1594"/>
      <c r="BI34" s="1592"/>
      <c r="BJ34" s="1593"/>
      <c r="BK34" s="1594"/>
      <c r="BL34" s="1592"/>
      <c r="BM34" s="1593"/>
      <c r="BN34" s="1594"/>
      <c r="BO34" s="1592"/>
      <c r="BP34" s="1593"/>
      <c r="BQ34" s="1594"/>
      <c r="BR34" s="1592"/>
      <c r="BS34" s="1593"/>
      <c r="BT34" s="1594"/>
      <c r="BU34" s="1592"/>
      <c r="BV34" s="1593"/>
      <c r="BW34" s="1594"/>
      <c r="BX34" s="1592"/>
      <c r="BY34" s="1593"/>
      <c r="BZ34" s="1594"/>
      <c r="CA34" s="1592"/>
      <c r="CB34" s="1593"/>
      <c r="CC34" s="1594"/>
      <c r="CD34" s="1592"/>
      <c r="CE34" s="1593"/>
      <c r="CF34" s="1594"/>
      <c r="CG34" s="1592"/>
      <c r="CH34" s="1593"/>
      <c r="CI34" s="1594"/>
      <c r="CJ34" s="1592"/>
      <c r="CK34" s="1593"/>
      <c r="CL34" s="1594"/>
      <c r="CM34" s="1592"/>
      <c r="CN34" s="1593"/>
      <c r="CO34" s="1594"/>
      <c r="CP34" s="1592"/>
      <c r="CQ34" s="1593"/>
      <c r="CR34" s="1594"/>
      <c r="CS34" s="1592"/>
      <c r="CT34" s="1593"/>
      <c r="CU34" s="1594"/>
      <c r="CV34" s="1592"/>
      <c r="CW34" s="1593"/>
      <c r="CX34" s="1594"/>
    </row>
    <row r="35" spans="1:102" ht="27" customHeight="1">
      <c r="A35" s="368" t="s">
        <v>278</v>
      </c>
      <c r="B35" s="371" t="s">
        <v>279</v>
      </c>
      <c r="C35" s="372" t="s">
        <v>267</v>
      </c>
      <c r="D35" s="373" t="s">
        <v>268</v>
      </c>
      <c r="E35" s="372" t="s">
        <v>267</v>
      </c>
      <c r="F35" s="373" t="s">
        <v>268</v>
      </c>
      <c r="G35" s="372" t="s">
        <v>267</v>
      </c>
      <c r="H35" s="373" t="s">
        <v>268</v>
      </c>
      <c r="I35" s="372" t="s">
        <v>267</v>
      </c>
      <c r="J35" s="373" t="s">
        <v>268</v>
      </c>
      <c r="K35" s="374" t="s">
        <v>267</v>
      </c>
      <c r="L35" s="371" t="s">
        <v>268</v>
      </c>
      <c r="M35" s="372" t="s">
        <v>267</v>
      </c>
      <c r="N35" s="373" t="s">
        <v>268</v>
      </c>
      <c r="O35" s="374" t="s">
        <v>267</v>
      </c>
      <c r="P35" s="371" t="s">
        <v>268</v>
      </c>
      <c r="Q35" s="372" t="s">
        <v>267</v>
      </c>
      <c r="R35" s="373" t="s">
        <v>268</v>
      </c>
      <c r="S35" s="374" t="s">
        <v>267</v>
      </c>
      <c r="T35" s="371" t="s">
        <v>268</v>
      </c>
      <c r="U35" s="372" t="s">
        <v>267</v>
      </c>
      <c r="V35" s="373" t="s">
        <v>268</v>
      </c>
      <c r="W35" s="374" t="s">
        <v>267</v>
      </c>
      <c r="X35" s="371" t="s">
        <v>268</v>
      </c>
      <c r="Y35" s="372" t="s">
        <v>267</v>
      </c>
      <c r="Z35" s="373" t="s">
        <v>268</v>
      </c>
      <c r="AA35" s="374" t="s">
        <v>267</v>
      </c>
      <c r="AB35" s="371" t="s">
        <v>268</v>
      </c>
      <c r="AC35" s="372" t="s">
        <v>267</v>
      </c>
      <c r="AD35" s="373" t="s">
        <v>268</v>
      </c>
      <c r="AE35" s="374" t="s">
        <v>267</v>
      </c>
      <c r="AF35" s="373" t="s">
        <v>268</v>
      </c>
      <c r="AG35" s="374" t="s">
        <v>267</v>
      </c>
      <c r="AH35" s="375" t="s">
        <v>268</v>
      </c>
      <c r="AI35" s="374" t="s">
        <v>267</v>
      </c>
      <c r="AJ35" s="375" t="s">
        <v>268</v>
      </c>
      <c r="AK35" s="374" t="s">
        <v>267</v>
      </c>
      <c r="AL35" s="375" t="s">
        <v>268</v>
      </c>
      <c r="AM35" s="374" t="s">
        <v>267</v>
      </c>
      <c r="AN35" s="375" t="s">
        <v>268</v>
      </c>
      <c r="AO35" s="374" t="s">
        <v>267</v>
      </c>
      <c r="AP35" s="375" t="s">
        <v>268</v>
      </c>
      <c r="AQ35" s="374" t="s">
        <v>267</v>
      </c>
      <c r="AR35" s="375" t="s">
        <v>268</v>
      </c>
      <c r="AS35" s="193"/>
      <c r="AT35" s="193"/>
      <c r="AU35" s="370" t="s">
        <v>278</v>
      </c>
      <c r="AV35" s="363"/>
      <c r="AW35" s="339" t="s">
        <v>267</v>
      </c>
      <c r="AX35" s="340" t="s">
        <v>268</v>
      </c>
      <c r="AY35" s="341" t="s">
        <v>269</v>
      </c>
      <c r="AZ35" s="339" t="s">
        <v>267</v>
      </c>
      <c r="BA35" s="340" t="s">
        <v>268</v>
      </c>
      <c r="BB35" s="341" t="s">
        <v>269</v>
      </c>
      <c r="BC35" s="339" t="s">
        <v>267</v>
      </c>
      <c r="BD35" s="340" t="s">
        <v>268</v>
      </c>
      <c r="BE35" s="341" t="s">
        <v>269</v>
      </c>
      <c r="BF35" s="339" t="s">
        <v>267</v>
      </c>
      <c r="BG35" s="340" t="s">
        <v>268</v>
      </c>
      <c r="BH35" s="341" t="s">
        <v>269</v>
      </c>
      <c r="BI35" s="339" t="s">
        <v>267</v>
      </c>
      <c r="BJ35" s="340" t="s">
        <v>268</v>
      </c>
      <c r="BK35" s="341" t="s">
        <v>269</v>
      </c>
      <c r="BL35" s="339" t="s">
        <v>267</v>
      </c>
      <c r="BM35" s="340" t="s">
        <v>268</v>
      </c>
      <c r="BN35" s="341" t="s">
        <v>269</v>
      </c>
      <c r="BO35" s="339" t="s">
        <v>267</v>
      </c>
      <c r="BP35" s="340" t="s">
        <v>268</v>
      </c>
      <c r="BQ35" s="341" t="s">
        <v>269</v>
      </c>
      <c r="BR35" s="339" t="s">
        <v>267</v>
      </c>
      <c r="BS35" s="340" t="s">
        <v>268</v>
      </c>
      <c r="BT35" s="341" t="s">
        <v>269</v>
      </c>
      <c r="BU35" s="339" t="s">
        <v>267</v>
      </c>
      <c r="BV35" s="340" t="s">
        <v>268</v>
      </c>
      <c r="BW35" s="341" t="s">
        <v>269</v>
      </c>
      <c r="BX35" s="339" t="s">
        <v>267</v>
      </c>
      <c r="BY35" s="340" t="s">
        <v>268</v>
      </c>
      <c r="BZ35" s="341" t="s">
        <v>269</v>
      </c>
      <c r="CA35" s="339" t="s">
        <v>267</v>
      </c>
      <c r="CB35" s="340" t="s">
        <v>268</v>
      </c>
      <c r="CC35" s="341" t="s">
        <v>269</v>
      </c>
      <c r="CD35" s="339" t="s">
        <v>267</v>
      </c>
      <c r="CE35" s="340" t="s">
        <v>268</v>
      </c>
      <c r="CF35" s="341" t="s">
        <v>269</v>
      </c>
      <c r="CG35" s="339" t="s">
        <v>267</v>
      </c>
      <c r="CH35" s="340" t="s">
        <v>268</v>
      </c>
      <c r="CI35" s="341" t="s">
        <v>269</v>
      </c>
      <c r="CJ35" s="339" t="s">
        <v>267</v>
      </c>
      <c r="CK35" s="340" t="s">
        <v>268</v>
      </c>
      <c r="CL35" s="341" t="s">
        <v>269</v>
      </c>
      <c r="CM35" s="339" t="s">
        <v>267</v>
      </c>
      <c r="CN35" s="340" t="s">
        <v>268</v>
      </c>
      <c r="CO35" s="341" t="s">
        <v>269</v>
      </c>
      <c r="CP35" s="339" t="s">
        <v>267</v>
      </c>
      <c r="CQ35" s="340" t="s">
        <v>268</v>
      </c>
      <c r="CR35" s="341" t="s">
        <v>269</v>
      </c>
      <c r="CS35" s="339" t="s">
        <v>267</v>
      </c>
      <c r="CT35" s="340" t="s">
        <v>268</v>
      </c>
      <c r="CU35" s="341" t="s">
        <v>269</v>
      </c>
      <c r="CV35" s="339" t="s">
        <v>267</v>
      </c>
      <c r="CW35" s="340" t="s">
        <v>268</v>
      </c>
      <c r="CX35" s="341" t="s">
        <v>269</v>
      </c>
    </row>
    <row r="36" spans="1:102">
      <c r="A36" s="416" t="str">
        <f>'HSZ do groszy'!A36</f>
        <v xml:space="preserve">BOŚ </v>
      </c>
      <c r="B36" s="417">
        <f>ROUNDUP('HSZ do groszy'!B36,0)</f>
        <v>12850000</v>
      </c>
      <c r="C36" s="418">
        <f>ROUNDUP('HSZ do groszy'!C36,0)</f>
        <v>3550000</v>
      </c>
      <c r="D36" s="419">
        <f>ROUNDUP('HSZ do groszy'!D36,0)</f>
        <v>273482</v>
      </c>
      <c r="E36" s="584">
        <f t="shared" ref="E36:E57" si="71">G36+I36+K36+M36+O36+Q36+S36+U36+W36+Y36+AA36+AC36+AE36+AG36</f>
        <v>6300000</v>
      </c>
      <c r="F36" s="420">
        <f t="shared" ref="F36:F45" si="72">H36+J36+L36+N36+P36+R36+T36+V36+X36+Z36+AB36+AD36+AF36+AH36</f>
        <v>134305</v>
      </c>
      <c r="G36" s="418">
        <f>ROUNDUP('HSZ do groszy'!G36,0)</f>
        <v>6300000</v>
      </c>
      <c r="H36" s="419">
        <f>ROUNDUP('HSZ do groszy'!H36,0)</f>
        <v>134305</v>
      </c>
      <c r="I36" s="418">
        <f>ROUNDUP('HSZ do groszy'!I36,0)</f>
        <v>0</v>
      </c>
      <c r="J36" s="419">
        <f>ROUNDUP('HSZ do groszy'!J36,0)</f>
        <v>0</v>
      </c>
      <c r="K36" s="421">
        <f>ROUNDUP('HSZ do groszy'!K36,0)</f>
        <v>0</v>
      </c>
      <c r="L36" s="422">
        <f>ROUNDUP('HSZ do groszy'!L36,0)</f>
        <v>0</v>
      </c>
      <c r="M36" s="418">
        <f>ROUNDUP('HSZ do groszy'!M36,0)</f>
        <v>0</v>
      </c>
      <c r="N36" s="419">
        <f>ROUNDUP('HSZ do groszy'!N36,0)</f>
        <v>0</v>
      </c>
      <c r="O36" s="421">
        <f>ROUNDUP('HSZ do groszy'!O36,0)</f>
        <v>0</v>
      </c>
      <c r="P36" s="422">
        <f>ROUNDUP('HSZ do groszy'!P36,0)</f>
        <v>0</v>
      </c>
      <c r="Q36" s="418">
        <f>ROUNDUP('HSZ do groszy'!Q36,0)</f>
        <v>0</v>
      </c>
      <c r="R36" s="419">
        <f>ROUNDUP('HSZ do groszy'!R36,0)</f>
        <v>0</v>
      </c>
      <c r="S36" s="421">
        <f>ROUNDUP('HSZ do groszy'!S36,0)</f>
        <v>0</v>
      </c>
      <c r="T36" s="422">
        <f>ROUNDUP('HSZ do groszy'!T36,0)</f>
        <v>0</v>
      </c>
      <c r="U36" s="418">
        <f>ROUNDUP('HSZ do groszy'!U36,0)</f>
        <v>0</v>
      </c>
      <c r="V36" s="419">
        <f>ROUNDUP('HSZ do groszy'!V36,0)</f>
        <v>0</v>
      </c>
      <c r="W36" s="421">
        <f>ROUNDUP('HSZ do groszy'!W36,0)</f>
        <v>0</v>
      </c>
      <c r="X36" s="422">
        <f>ROUNDUP('HSZ do groszy'!X36,0)</f>
        <v>0</v>
      </c>
      <c r="Y36" s="418">
        <f>ROUNDUP('HSZ do groszy'!Y36,0)</f>
        <v>0</v>
      </c>
      <c r="Z36" s="419">
        <f>ROUNDUP('HSZ do groszy'!Z36,0)</f>
        <v>0</v>
      </c>
      <c r="AA36" s="421">
        <f>ROUNDUP('HSZ do groszy'!AA36,0)</f>
        <v>0</v>
      </c>
      <c r="AB36" s="422">
        <f>ROUNDUP('HSZ do groszy'!AB36,0)</f>
        <v>0</v>
      </c>
      <c r="AC36" s="418">
        <f>ROUNDUP('HSZ do groszy'!AC36,0)</f>
        <v>0</v>
      </c>
      <c r="AD36" s="419">
        <f>ROUNDUP('HSZ do groszy'!AD36,0)</f>
        <v>0</v>
      </c>
      <c r="AE36" s="421">
        <f>ROUNDUP('HSZ do groszy'!AE36,0)</f>
        <v>0</v>
      </c>
      <c r="AF36" s="419">
        <f>ROUNDUP('HSZ do groszy'!AF36,0)</f>
        <v>0</v>
      </c>
      <c r="AG36" s="421">
        <f>ROUNDUP('HSZ do groszy'!AG36,0)</f>
        <v>0</v>
      </c>
      <c r="AH36" s="423">
        <f>ROUNDUP('HSZ do groszy'!AH36,0)</f>
        <v>0</v>
      </c>
      <c r="AI36" s="421">
        <f>ROUNDUP('HSZ do groszy'!AI36,0)</f>
        <v>0</v>
      </c>
      <c r="AJ36" s="423">
        <f>ROUNDUP('HSZ do groszy'!AJ36,0)</f>
        <v>0</v>
      </c>
      <c r="AK36" s="421">
        <f>ROUNDUP('HSZ do groszy'!AK36,0)</f>
        <v>0</v>
      </c>
      <c r="AL36" s="423">
        <f>ROUNDUP('HSZ do groszy'!AL36,0)</f>
        <v>0</v>
      </c>
      <c r="AM36" s="421">
        <f>ROUNDUP('HSZ do groszy'!AM36,0)</f>
        <v>0</v>
      </c>
      <c r="AN36" s="423">
        <f>ROUNDUP('HSZ do groszy'!AN36,0)</f>
        <v>0</v>
      </c>
      <c r="AO36" s="421">
        <f>ROUNDUP('HSZ do groszy'!AO36,0)</f>
        <v>0</v>
      </c>
      <c r="AP36" s="423">
        <f>ROUNDUP('HSZ do groszy'!AP36,0)</f>
        <v>0</v>
      </c>
      <c r="AQ36" s="421">
        <f>ROUNDUP('HSZ do groszy'!AQ36,0)</f>
        <v>0</v>
      </c>
      <c r="AR36" s="423">
        <f>ROUNDUP('HSZ do groszy'!AR36,0)</f>
        <v>0</v>
      </c>
      <c r="AS36" s="193"/>
      <c r="AT36" s="193"/>
      <c r="AU36" s="424" t="str">
        <f t="shared" ref="AU36:AV40" si="73">A36</f>
        <v xml:space="preserve">BOŚ </v>
      </c>
      <c r="AV36" s="425">
        <f t="shared" si="73"/>
        <v>12850000</v>
      </c>
      <c r="AW36" s="426">
        <f>SUM($I36,$K36,$M36,$O36,$Q36,$S36,$U36,$W36,$Y36,$AA36,$AC36,$AE36,$AG36)</f>
        <v>0</v>
      </c>
      <c r="AX36" s="427">
        <f>SUM($J36,$L36,$N36,$P36,$R36,$T36,$V36,$X36,$Z36,$AB36,$AD36,$AF36,$AH36)</f>
        <v>0</v>
      </c>
      <c r="AY36" s="419">
        <f>SUM(AW36,AX36)</f>
        <v>0</v>
      </c>
      <c r="AZ36" s="426">
        <f>SUM($K36,$M36,$O36,$Q36,$S36,$U36,$W36,$Y36,$AA36,$AC36,$AE36,$AG36)</f>
        <v>0</v>
      </c>
      <c r="BA36" s="427">
        <f>SUM($L36,$N36,$P36,$R36,$T36,$V36,$X36,$Z36,$AB36,$AD36,$AF36,$AH36)</f>
        <v>0</v>
      </c>
      <c r="BB36" s="419">
        <f>SUM(AZ36,BA36)</f>
        <v>0</v>
      </c>
      <c r="BC36" s="426">
        <f>SUM($M36,$O36,$Q36,$S36,$U36,$W36,$Y36,$AA36,$AC36,$AE36,$AG36)</f>
        <v>0</v>
      </c>
      <c r="BD36" s="427">
        <f>SUM($N36,$P36,$R36,$T36,$V36,$X36,$Z36,$AB36,$AD36,$AF36,$AH36)</f>
        <v>0</v>
      </c>
      <c r="BE36" s="419">
        <f>SUM(BC36,BD36)</f>
        <v>0</v>
      </c>
      <c r="BF36" s="426">
        <f>SUM($O36,$Q36,$S36,$U36,$W36,$Y36,$AA36,$AC36,$AE36,$AG36)</f>
        <v>0</v>
      </c>
      <c r="BG36" s="427">
        <f>SUM($P36,$R36,$T36,$V36,$X36,$Z36,$AB36,$AD36,$AF36,$AH36)</f>
        <v>0</v>
      </c>
      <c r="BH36" s="419">
        <f>SUM(BF36,BG36)</f>
        <v>0</v>
      </c>
      <c r="BI36" s="426">
        <f>SUM($Q36,$S36,$U36,$W36,$Y36,$AA36,$AC36,$AE36,$AG36)</f>
        <v>0</v>
      </c>
      <c r="BJ36" s="427">
        <f>SUM($R36,$T36,$V36,$X36,$Z36,$AB36,$AD36,$AF36,$AH36)</f>
        <v>0</v>
      </c>
      <c r="BK36" s="419">
        <f>SUM(BI36,BJ36)</f>
        <v>0</v>
      </c>
      <c r="BL36" s="426">
        <f>SUM($S36,$U36,$W36,$Y36,$AA36,$AC36,$AE36,$AG36)</f>
        <v>0</v>
      </c>
      <c r="BM36" s="427">
        <f>SUM($T36,$V36,$X36,$Z36,$AB36,$AD36,$AF36,$AH36)</f>
        <v>0</v>
      </c>
      <c r="BN36" s="419">
        <f>SUM(BL36,BM36)</f>
        <v>0</v>
      </c>
      <c r="BO36" s="426">
        <f>SUM($U36,$W36,$Y36,$AA36,$AC36,$AE36,$AG36)</f>
        <v>0</v>
      </c>
      <c r="BP36" s="427">
        <f>SUM($V36,$X36,$Z36,$AB36,$AD36,$AF36,$AH36)</f>
        <v>0</v>
      </c>
      <c r="BQ36" s="419">
        <f>SUM(BO36,BP36)</f>
        <v>0</v>
      </c>
      <c r="BR36" s="426">
        <f>SUM($W36,$Y36,$AA36,$AC36,$AE36,$AG36)</f>
        <v>0</v>
      </c>
      <c r="BS36" s="427">
        <f>SUM($X36,$Z36,$AB36,$AD36,$AF36,$AH36)</f>
        <v>0</v>
      </c>
      <c r="BT36" s="419">
        <f>SUM(BR36,BS36)</f>
        <v>0</v>
      </c>
      <c r="BU36" s="426">
        <f>SUM($Y36,$AA36,$AC36,$AE36,$AG36)</f>
        <v>0</v>
      </c>
      <c r="BV36" s="427">
        <f>SUM($Z36,$AB36,$AD36,$AF36,$AH36)</f>
        <v>0</v>
      </c>
      <c r="BW36" s="419">
        <f>SUM(BU36,BV36)</f>
        <v>0</v>
      </c>
      <c r="BX36" s="426">
        <f>SUM($AA36,$AC36,$AE36,$AG36)</f>
        <v>0</v>
      </c>
      <c r="BY36" s="427">
        <f>SUM($AB36,$AD36,$AF36,$AH36)</f>
        <v>0</v>
      </c>
      <c r="BZ36" s="419">
        <f>SUM(BX36,BY36)</f>
        <v>0</v>
      </c>
      <c r="CA36" s="426">
        <f>SUM($AC36,$AE36,$AG36)</f>
        <v>0</v>
      </c>
      <c r="CB36" s="427">
        <f>SUM($AD36,$AF36,$AH36)</f>
        <v>0</v>
      </c>
      <c r="CC36" s="419">
        <f>SUM(CA36,CB36)</f>
        <v>0</v>
      </c>
      <c r="CD36" s="426">
        <f>SUM($AE36,$AG36)</f>
        <v>0</v>
      </c>
      <c r="CE36" s="427">
        <f>SUM($AF36,$AH36)</f>
        <v>0</v>
      </c>
      <c r="CF36" s="419">
        <f>SUM(CD36,CE36)</f>
        <v>0</v>
      </c>
      <c r="CG36" s="426">
        <f>SUM($AG36)</f>
        <v>0</v>
      </c>
      <c r="CH36" s="427">
        <f>SUM($AH36)</f>
        <v>0</v>
      </c>
      <c r="CI36" s="419">
        <f>SUM(CG36,CH36)</f>
        <v>0</v>
      </c>
      <c r="CJ36" s="426">
        <f>SUM($AG36)</f>
        <v>0</v>
      </c>
      <c r="CK36" s="427">
        <f>SUM($AH36)</f>
        <v>0</v>
      </c>
      <c r="CL36" s="419">
        <f>SUM(CJ36,CK36)</f>
        <v>0</v>
      </c>
      <c r="CM36" s="426">
        <f>SUM($AG36)</f>
        <v>0</v>
      </c>
      <c r="CN36" s="427">
        <f>SUM($AH36)</f>
        <v>0</v>
      </c>
      <c r="CO36" s="419">
        <f>SUM(CM36,CN36)</f>
        <v>0</v>
      </c>
      <c r="CP36" s="426">
        <f>SUM($AG36)</f>
        <v>0</v>
      </c>
      <c r="CQ36" s="427">
        <f>SUM($AH36)</f>
        <v>0</v>
      </c>
      <c r="CR36" s="419">
        <f>SUM(CP36,CQ36)</f>
        <v>0</v>
      </c>
      <c r="CS36" s="426">
        <f>SUM($AG36)</f>
        <v>0</v>
      </c>
      <c r="CT36" s="427">
        <f>SUM($AH36)</f>
        <v>0</v>
      </c>
      <c r="CU36" s="419">
        <f>SUM(CS36,CT36)</f>
        <v>0</v>
      </c>
      <c r="CV36" s="426">
        <f>SUM($AG36)</f>
        <v>0</v>
      </c>
      <c r="CW36" s="427">
        <f>SUM($AH36)</f>
        <v>0</v>
      </c>
      <c r="CX36" s="419">
        <f>SUM(CV36,CW36)</f>
        <v>0</v>
      </c>
    </row>
    <row r="37" spans="1:102">
      <c r="A37" s="416" t="str">
        <f>'HSZ do groszy'!A37</f>
        <v>BOŚ Bank</v>
      </c>
      <c r="B37" s="417">
        <f>ROUNDUP('HSZ do groszy'!B37,0)</f>
        <v>2000000</v>
      </c>
      <c r="C37" s="418">
        <f>ROUNDUP('HSZ do groszy'!C37,0)</f>
        <v>0</v>
      </c>
      <c r="D37" s="419">
        <f>ROUNDUP('HSZ do groszy'!D37,0)</f>
        <v>73091</v>
      </c>
      <c r="E37" s="584">
        <f t="shared" si="71"/>
        <v>2000000</v>
      </c>
      <c r="F37" s="420">
        <f t="shared" si="72"/>
        <v>196182</v>
      </c>
      <c r="G37" s="418">
        <f>ROUNDUP('HSZ do groszy'!G37,0)</f>
        <v>0</v>
      </c>
      <c r="H37" s="419">
        <f>ROUNDUP('HSZ do groszy'!H37,0)</f>
        <v>73091</v>
      </c>
      <c r="I37" s="418">
        <f>ROUNDUP('HSZ do groszy'!I37,0)</f>
        <v>2000000</v>
      </c>
      <c r="J37" s="419">
        <f>ROUNDUP('HSZ do groszy'!J37,0)</f>
        <v>123091</v>
      </c>
      <c r="K37" s="421">
        <f>ROUNDUP('HSZ do groszy'!K37,0)</f>
        <v>0</v>
      </c>
      <c r="L37" s="422">
        <f>ROUNDUP('HSZ do groszy'!L37,0)</f>
        <v>0</v>
      </c>
      <c r="M37" s="418">
        <f>ROUNDUP('HSZ do groszy'!M37,0)</f>
        <v>0</v>
      </c>
      <c r="N37" s="419">
        <f>ROUNDUP('HSZ do groszy'!N37,0)</f>
        <v>0</v>
      </c>
      <c r="O37" s="421">
        <f>ROUNDUP('HSZ do groszy'!O37,0)</f>
        <v>0</v>
      </c>
      <c r="P37" s="422">
        <f>ROUNDUP('HSZ do groszy'!P37,0)</f>
        <v>0</v>
      </c>
      <c r="Q37" s="418">
        <f>ROUNDUP('HSZ do groszy'!Q37,0)</f>
        <v>0</v>
      </c>
      <c r="R37" s="419">
        <f>ROUNDUP('HSZ do groszy'!R37,0)</f>
        <v>0</v>
      </c>
      <c r="S37" s="421">
        <f>ROUNDUP('HSZ do groszy'!S37,0)</f>
        <v>0</v>
      </c>
      <c r="T37" s="422">
        <f>ROUNDUP('HSZ do groszy'!T37,0)</f>
        <v>0</v>
      </c>
      <c r="U37" s="418">
        <f>ROUNDUP('HSZ do groszy'!U37,0)</f>
        <v>0</v>
      </c>
      <c r="V37" s="419">
        <f>ROUNDUP('HSZ do groszy'!V37,0)</f>
        <v>0</v>
      </c>
      <c r="W37" s="421">
        <f>ROUNDUP('HSZ do groszy'!W37,0)</f>
        <v>0</v>
      </c>
      <c r="X37" s="422">
        <f>ROUNDUP('HSZ do groszy'!X37,0)</f>
        <v>0</v>
      </c>
      <c r="Y37" s="418">
        <f>ROUNDUP('HSZ do groszy'!Y37,0)</f>
        <v>0</v>
      </c>
      <c r="Z37" s="419">
        <f>ROUNDUP('HSZ do groszy'!Z37,0)</f>
        <v>0</v>
      </c>
      <c r="AA37" s="421">
        <f>ROUNDUP('HSZ do groszy'!AA37,0)</f>
        <v>0</v>
      </c>
      <c r="AB37" s="422">
        <f>ROUNDUP('HSZ do groszy'!AB37,0)</f>
        <v>0</v>
      </c>
      <c r="AC37" s="418">
        <f>ROUNDUP('HSZ do groszy'!AC37,0)</f>
        <v>0</v>
      </c>
      <c r="AD37" s="419">
        <f>ROUNDUP('HSZ do groszy'!AD37,0)</f>
        <v>0</v>
      </c>
      <c r="AE37" s="421">
        <f>ROUNDUP('HSZ do groszy'!AE37,0)</f>
        <v>0</v>
      </c>
      <c r="AF37" s="419">
        <f>ROUNDUP('HSZ do groszy'!AF37,0)</f>
        <v>0</v>
      </c>
      <c r="AG37" s="421">
        <f>ROUNDUP('HSZ do groszy'!AG37,0)</f>
        <v>0</v>
      </c>
      <c r="AH37" s="423">
        <f>ROUNDUP('HSZ do groszy'!AH37,0)</f>
        <v>0</v>
      </c>
      <c r="AI37" s="421">
        <f>ROUNDUP('HSZ do groszy'!AI37,0)</f>
        <v>0</v>
      </c>
      <c r="AJ37" s="423">
        <f>ROUNDUP('HSZ do groszy'!AJ37,0)</f>
        <v>0</v>
      </c>
      <c r="AK37" s="421">
        <f>ROUNDUP('HSZ do groszy'!AK37,0)</f>
        <v>0</v>
      </c>
      <c r="AL37" s="423">
        <f>ROUNDUP('HSZ do groszy'!AL37,0)</f>
        <v>0</v>
      </c>
      <c r="AM37" s="421">
        <f>ROUNDUP('HSZ do groszy'!AM37,0)</f>
        <v>0</v>
      </c>
      <c r="AN37" s="423">
        <f>ROUNDUP('HSZ do groszy'!AN37,0)</f>
        <v>0</v>
      </c>
      <c r="AO37" s="421">
        <f>ROUNDUP('HSZ do groszy'!AO37,0)</f>
        <v>0</v>
      </c>
      <c r="AP37" s="423">
        <f>ROUNDUP('HSZ do groszy'!AP37,0)</f>
        <v>0</v>
      </c>
      <c r="AQ37" s="421">
        <f>ROUNDUP('HSZ do groszy'!AQ37,0)</f>
        <v>0</v>
      </c>
      <c r="AR37" s="423">
        <f>ROUNDUP('HSZ do groszy'!AR37,0)</f>
        <v>0</v>
      </c>
      <c r="AS37" s="193"/>
      <c r="AT37" s="193"/>
      <c r="AU37" s="424" t="str">
        <f t="shared" si="73"/>
        <v>BOŚ Bank</v>
      </c>
      <c r="AV37" s="425">
        <f t="shared" si="73"/>
        <v>2000000</v>
      </c>
      <c r="AW37" s="426">
        <f>SUM($I37,$K37,$M37,$O37,$Q37,$S37,$U37,$W37,$Y37,$AA37,$AC37,$AE37,$AG37)</f>
        <v>2000000</v>
      </c>
      <c r="AX37" s="427">
        <f>SUM($J37,$L37,$N37,$P37,$R37,$T37,$V37,$X37,$Z37,$AB37,$AD37,$AF37,$AH37)</f>
        <v>123091</v>
      </c>
      <c r="AY37" s="419">
        <f>SUM(AW37,AX37)</f>
        <v>2123091</v>
      </c>
      <c r="AZ37" s="426">
        <f>SUM($K37,$M37,$O37,$Q37,$S37,$U37,$W37,$Y37,$AA37,$AC37,$AE37,$AG37)</f>
        <v>0</v>
      </c>
      <c r="BA37" s="427">
        <f>SUM($L37,$N37,$P37,$R37,$T37,$V37,$X37,$Z37,$AB37,$AD37,$AF37,$AH37)</f>
        <v>0</v>
      </c>
      <c r="BB37" s="419">
        <f>SUM(AZ37,BA37)</f>
        <v>0</v>
      </c>
      <c r="BC37" s="426">
        <f>SUM($M37,$O37,$Q37,$S37,$U37,$W37,$Y37,$AA37,$AC37,$AE37,$AG37)</f>
        <v>0</v>
      </c>
      <c r="BD37" s="427">
        <f>SUM($N37,$P37,$R37,$T37,$V37,$X37,$Z37,$AB37,$AD37,$AF37,$AH37)</f>
        <v>0</v>
      </c>
      <c r="BE37" s="419">
        <f>SUM(BC37,BD37)</f>
        <v>0</v>
      </c>
      <c r="BF37" s="426">
        <f t="shared" ref="BF37:BF48" si="74">SUM($O37,$Q37,$S37,$U37,$W37,$Y37,$AA37,$AC37,$AE37,$AG37)</f>
        <v>0</v>
      </c>
      <c r="BG37" s="427">
        <f t="shared" ref="BG37:BG48" si="75">SUM($P37,$R37,$T37,$V37,$X37,$Z37,$AB37,$AD37,$AF37,$AH37)</f>
        <v>0</v>
      </c>
      <c r="BH37" s="419">
        <f>SUM(BF37,BG37)</f>
        <v>0</v>
      </c>
      <c r="BI37" s="426">
        <f t="shared" ref="BI37:BI49" si="76">SUM($Q37,$S37,$U37,$W37,$Y37,$AA37,$AC37,$AE37,$AG37)</f>
        <v>0</v>
      </c>
      <c r="BJ37" s="427">
        <f t="shared" ref="BJ37:BJ49" si="77">SUM($R37,$T37,$V37,$X37,$Z37,$AB37,$AD37,$AF37,$AH37)</f>
        <v>0</v>
      </c>
      <c r="BK37" s="419">
        <f>SUM(BI37,BJ37)</f>
        <v>0</v>
      </c>
      <c r="BL37" s="426">
        <f t="shared" ref="BL37:BL50" si="78">SUM($S37,$U37,$W37,$Y37,$AA37,$AC37,$AE37,$AG37)</f>
        <v>0</v>
      </c>
      <c r="BM37" s="427">
        <f t="shared" ref="BM37:BM50" si="79">SUM($T37,$V37,$X37,$Z37,$AB37,$AD37,$AF37,$AH37)</f>
        <v>0</v>
      </c>
      <c r="BN37" s="419">
        <f>SUM(BL37,BM37)</f>
        <v>0</v>
      </c>
      <c r="BO37" s="426">
        <f t="shared" ref="BO37:BO51" si="80">SUM($U37,$W37,$Y37,$AA37,$AC37,$AE37,$AG37)</f>
        <v>0</v>
      </c>
      <c r="BP37" s="427">
        <f t="shared" ref="BP37:BP51" si="81">SUM($V37,$X37,$Z37,$AB37,$AD37,$AF37,$AH37)</f>
        <v>0</v>
      </c>
      <c r="BQ37" s="419">
        <f>SUM(BO37,BP37)</f>
        <v>0</v>
      </c>
      <c r="BR37" s="426">
        <f t="shared" ref="BR37:BR52" si="82">SUM($W37,$Y37,$AA37,$AC37,$AE37,$AG37)</f>
        <v>0</v>
      </c>
      <c r="BS37" s="427">
        <f t="shared" ref="BS37:BS52" si="83">SUM($X37,$Z37,$AB37,$AD37,$AF37,$AH37)</f>
        <v>0</v>
      </c>
      <c r="BT37" s="419">
        <f>SUM(BR37,BS37)</f>
        <v>0</v>
      </c>
      <c r="BU37" s="426">
        <f t="shared" ref="BU37:BU53" si="84">SUM($Y37,$AA37,$AC37,$AE37,$AG37)</f>
        <v>0</v>
      </c>
      <c r="BV37" s="427">
        <f t="shared" ref="BV37:BV53" si="85">SUM($Z37,$AB37,$AD37,$AF37,$AH37)</f>
        <v>0</v>
      </c>
      <c r="BW37" s="419">
        <f>SUM(BU37,BV37)</f>
        <v>0</v>
      </c>
      <c r="BX37" s="426">
        <f t="shared" ref="BX37:BX54" si="86">SUM($AA37,$AC37,$AE37,$AG37)</f>
        <v>0</v>
      </c>
      <c r="BY37" s="427">
        <f t="shared" ref="BY37:BY54" si="87">SUM($AB37,$AD37,$AF37,$AH37)</f>
        <v>0</v>
      </c>
      <c r="BZ37" s="419">
        <f t="shared" ref="BZ37:BZ54" si="88">SUM(BX37,BY37)</f>
        <v>0</v>
      </c>
      <c r="CA37" s="426">
        <f t="shared" ref="CA37:CA57" si="89">SUM($AC37,$AE37,$AG37)</f>
        <v>0</v>
      </c>
      <c r="CB37" s="427">
        <f t="shared" ref="CB37:CB57" si="90">SUM($AD37,$AF37,$AH37)</f>
        <v>0</v>
      </c>
      <c r="CC37" s="419">
        <f t="shared" ref="CC37:CC54" si="91">SUM(CA37,CB37)</f>
        <v>0</v>
      </c>
      <c r="CD37" s="426">
        <f t="shared" ref="CD37:CD57" si="92">SUM($AE37,$AG37)</f>
        <v>0</v>
      </c>
      <c r="CE37" s="427">
        <f t="shared" ref="CE37:CE57" si="93">SUM($AF37,$AH37)</f>
        <v>0</v>
      </c>
      <c r="CF37" s="419">
        <f t="shared" ref="CF37:CF54" si="94">SUM(CD37,CE37)</f>
        <v>0</v>
      </c>
      <c r="CG37" s="426">
        <f t="shared" ref="CG37:CG57" si="95">SUM($AG37)</f>
        <v>0</v>
      </c>
      <c r="CH37" s="427">
        <f t="shared" ref="CH37:CH57" si="96">SUM($AH37)</f>
        <v>0</v>
      </c>
      <c r="CI37" s="419">
        <f t="shared" ref="CI37:CI54" si="97">SUM(CG37,CH37)</f>
        <v>0</v>
      </c>
      <c r="CJ37" s="426">
        <f t="shared" ref="CJ37:CJ57" si="98">SUM($AG37)</f>
        <v>0</v>
      </c>
      <c r="CK37" s="427">
        <f t="shared" ref="CK37:CK57" si="99">SUM($AH37)</f>
        <v>0</v>
      </c>
      <c r="CL37" s="419">
        <f t="shared" ref="CL37:CL40" si="100">SUM(CJ37,CK37)</f>
        <v>0</v>
      </c>
      <c r="CM37" s="426">
        <f t="shared" ref="CM37:CM57" si="101">SUM($AG37)</f>
        <v>0</v>
      </c>
      <c r="CN37" s="427">
        <f t="shared" ref="CN37:CN57" si="102">SUM($AH37)</f>
        <v>0</v>
      </c>
      <c r="CO37" s="419">
        <f t="shared" ref="CO37:CO40" si="103">SUM(CM37,CN37)</f>
        <v>0</v>
      </c>
      <c r="CP37" s="426">
        <f t="shared" ref="CP37:CP57" si="104">SUM($AG37)</f>
        <v>0</v>
      </c>
      <c r="CQ37" s="427">
        <f t="shared" ref="CQ37:CQ57" si="105">SUM($AH37)</f>
        <v>0</v>
      </c>
      <c r="CR37" s="419">
        <f t="shared" ref="CR37:CR40" si="106">SUM(CP37,CQ37)</f>
        <v>0</v>
      </c>
      <c r="CS37" s="426">
        <f t="shared" ref="CS37:CS57" si="107">SUM($AG37)</f>
        <v>0</v>
      </c>
      <c r="CT37" s="427">
        <f t="shared" ref="CT37:CT57" si="108">SUM($AH37)</f>
        <v>0</v>
      </c>
      <c r="CU37" s="419">
        <f t="shared" ref="CU37:CU40" si="109">SUM(CS37,CT37)</f>
        <v>0</v>
      </c>
      <c r="CV37" s="426">
        <f t="shared" ref="CV37:CV57" si="110">SUM($AG37)</f>
        <v>0</v>
      </c>
      <c r="CW37" s="427">
        <f t="shared" ref="CW37:CW57" si="111">SUM($AH37)</f>
        <v>0</v>
      </c>
      <c r="CX37" s="419">
        <f t="shared" ref="CX37:CX40" si="112">SUM(CV37,CW37)</f>
        <v>0</v>
      </c>
    </row>
    <row r="38" spans="1:102">
      <c r="A38" s="428" t="str">
        <f>'HSZ do groszy'!A38</f>
        <v>ING Bank</v>
      </c>
      <c r="B38" s="429">
        <f>ROUNDUP('HSZ do groszy'!B38,0)</f>
        <v>8900000</v>
      </c>
      <c r="C38" s="418">
        <f>ROUNDUP('HSZ do groszy'!C38,0)</f>
        <v>0</v>
      </c>
      <c r="D38" s="419">
        <f>ROUNDUP('HSZ do groszy'!D38,0)</f>
        <v>559244</v>
      </c>
      <c r="E38" s="584">
        <f t="shared" si="71"/>
        <v>8900000</v>
      </c>
      <c r="F38" s="420">
        <f t="shared" si="72"/>
        <v>1468910</v>
      </c>
      <c r="G38" s="418">
        <f>ROUNDUP('HSZ do groszy'!G38,0)</f>
        <v>0</v>
      </c>
      <c r="H38" s="419">
        <f>ROUNDUP('HSZ do groszy'!H38,0)</f>
        <v>559244</v>
      </c>
      <c r="I38" s="418">
        <f>ROUNDUP('HSZ do groszy'!I38,0)</f>
        <v>5000000</v>
      </c>
      <c r="J38" s="419">
        <f>ROUNDUP('HSZ do groszy'!J38,0)</f>
        <v>577825</v>
      </c>
      <c r="K38" s="421">
        <f>ROUNDUP('HSZ do groszy'!K38,0)</f>
        <v>3000000</v>
      </c>
      <c r="L38" s="422">
        <f>ROUNDUP('HSZ do groszy'!L38,0)</f>
        <v>280000</v>
      </c>
      <c r="M38" s="418">
        <f>ROUNDUP('HSZ do groszy'!M38,0)</f>
        <v>900000</v>
      </c>
      <c r="N38" s="419">
        <f>ROUNDUP('HSZ do groszy'!N38,0)</f>
        <v>51841</v>
      </c>
      <c r="O38" s="421">
        <f>ROUNDUP('HSZ do groszy'!O38,0)</f>
        <v>0</v>
      </c>
      <c r="P38" s="422">
        <f>ROUNDUP('HSZ do groszy'!P38,0)</f>
        <v>0</v>
      </c>
      <c r="Q38" s="418">
        <f>ROUNDUP('HSZ do groszy'!Q38,0)</f>
        <v>0</v>
      </c>
      <c r="R38" s="419">
        <f>ROUNDUP('HSZ do groszy'!R38,0)</f>
        <v>0</v>
      </c>
      <c r="S38" s="421">
        <f>ROUNDUP('HSZ do groszy'!S38,0)</f>
        <v>0</v>
      </c>
      <c r="T38" s="422">
        <f>ROUNDUP('HSZ do groszy'!T38,0)</f>
        <v>0</v>
      </c>
      <c r="U38" s="418">
        <f>ROUNDUP('HSZ do groszy'!U38,0)</f>
        <v>0</v>
      </c>
      <c r="V38" s="419">
        <f>ROUNDUP('HSZ do groszy'!V38,0)</f>
        <v>0</v>
      </c>
      <c r="W38" s="421">
        <f>ROUNDUP('HSZ do groszy'!W38,0)</f>
        <v>0</v>
      </c>
      <c r="X38" s="422">
        <f>ROUNDUP('HSZ do groszy'!X38,0)</f>
        <v>0</v>
      </c>
      <c r="Y38" s="418">
        <f>ROUNDUP('HSZ do groszy'!Y38,0)</f>
        <v>0</v>
      </c>
      <c r="Z38" s="419">
        <f>ROUNDUP('HSZ do groszy'!Z38,0)</f>
        <v>0</v>
      </c>
      <c r="AA38" s="421">
        <f>ROUNDUP('HSZ do groszy'!AA38,0)</f>
        <v>0</v>
      </c>
      <c r="AB38" s="422">
        <f>ROUNDUP('HSZ do groszy'!AB38,0)</f>
        <v>0</v>
      </c>
      <c r="AC38" s="418">
        <f>ROUNDUP('HSZ do groszy'!AC38,0)</f>
        <v>0</v>
      </c>
      <c r="AD38" s="419">
        <f>ROUNDUP('HSZ do groszy'!AD38,0)</f>
        <v>0</v>
      </c>
      <c r="AE38" s="421">
        <f>ROUNDUP('HSZ do groszy'!AE38,0)</f>
        <v>0</v>
      </c>
      <c r="AF38" s="419">
        <f>ROUNDUP('HSZ do groszy'!AF38,0)</f>
        <v>0</v>
      </c>
      <c r="AG38" s="421">
        <f>ROUNDUP('HSZ do groszy'!AG38,0)</f>
        <v>0</v>
      </c>
      <c r="AH38" s="423">
        <f>ROUNDUP('HSZ do groszy'!AH38,0)</f>
        <v>0</v>
      </c>
      <c r="AI38" s="421">
        <f>ROUNDUP('HSZ do groszy'!AI38,0)</f>
        <v>0</v>
      </c>
      <c r="AJ38" s="423">
        <f>ROUNDUP('HSZ do groszy'!AJ38,0)</f>
        <v>0</v>
      </c>
      <c r="AK38" s="421">
        <f>ROUNDUP('HSZ do groszy'!AK38,0)</f>
        <v>0</v>
      </c>
      <c r="AL38" s="423">
        <f>ROUNDUP('HSZ do groszy'!AL38,0)</f>
        <v>0</v>
      </c>
      <c r="AM38" s="421">
        <f>ROUNDUP('HSZ do groszy'!AM38,0)</f>
        <v>0</v>
      </c>
      <c r="AN38" s="423">
        <f>ROUNDUP('HSZ do groszy'!AN38,0)</f>
        <v>0</v>
      </c>
      <c r="AO38" s="421">
        <f>ROUNDUP('HSZ do groszy'!AO38,0)</f>
        <v>0</v>
      </c>
      <c r="AP38" s="423">
        <f>ROUNDUP('HSZ do groszy'!AP38,0)</f>
        <v>0</v>
      </c>
      <c r="AQ38" s="421">
        <f>ROUNDUP('HSZ do groszy'!AQ38,0)</f>
        <v>0</v>
      </c>
      <c r="AR38" s="423">
        <f>ROUNDUP('HSZ do groszy'!AR38,0)</f>
        <v>0</v>
      </c>
      <c r="AS38" s="193"/>
      <c r="AT38" s="193"/>
      <c r="AU38" s="424" t="str">
        <f t="shared" si="73"/>
        <v>ING Bank</v>
      </c>
      <c r="AV38" s="425">
        <f t="shared" si="73"/>
        <v>8900000</v>
      </c>
      <c r="AW38" s="426">
        <f>SUM($I38,$K38,$M38,$O38,$Q38,$S38,$U38,$W38,$Y38,$AA38,$AC38,$AE38,$AG38)</f>
        <v>8900000</v>
      </c>
      <c r="AX38" s="427">
        <f>SUM($J38,$L38,$N38,$P38,$R38,$T38,$V38,$X38,$Z38,$AB38,$AD38,$AF38,$AH38)</f>
        <v>909666</v>
      </c>
      <c r="AY38" s="419">
        <f>SUM(AW38,AX38)</f>
        <v>9809666</v>
      </c>
      <c r="AZ38" s="426">
        <f>SUM($K38,$M38,$O38,$Q38,$S38,$U38,$W38,$Y38,$AA38,$AC38,$AE38,$AG38)</f>
        <v>3900000</v>
      </c>
      <c r="BA38" s="427">
        <f>SUM($L38,$N38,$P38,$R38,$T38,$V38,$X38,$Z38,$AB38,$AD38,$AF38,$AH38)</f>
        <v>331841</v>
      </c>
      <c r="BB38" s="419">
        <f>SUM(AZ38,BA38)</f>
        <v>4231841</v>
      </c>
      <c r="BC38" s="426">
        <f>SUM($M38,$O38,$Q38,$S38,$U38,$W38,$Y38,$AA38,$AC38,$AE38,$AG38)</f>
        <v>900000</v>
      </c>
      <c r="BD38" s="427">
        <f>SUM($N38,$P38,$R38,$T38,$V38,$X38,$Z38,$AB38,$AD38,$AF38,$AH38)</f>
        <v>51841</v>
      </c>
      <c r="BE38" s="419">
        <f>SUM(BC38,BD38)</f>
        <v>951841</v>
      </c>
      <c r="BF38" s="426">
        <f t="shared" si="74"/>
        <v>0</v>
      </c>
      <c r="BG38" s="427">
        <f t="shared" si="75"/>
        <v>0</v>
      </c>
      <c r="BH38" s="419">
        <f>SUM(BF38,BG38)</f>
        <v>0</v>
      </c>
      <c r="BI38" s="426">
        <f t="shared" si="76"/>
        <v>0</v>
      </c>
      <c r="BJ38" s="427">
        <f t="shared" si="77"/>
        <v>0</v>
      </c>
      <c r="BK38" s="419">
        <f>SUM(BI38,BJ38)</f>
        <v>0</v>
      </c>
      <c r="BL38" s="426">
        <f t="shared" si="78"/>
        <v>0</v>
      </c>
      <c r="BM38" s="427">
        <f t="shared" si="79"/>
        <v>0</v>
      </c>
      <c r="BN38" s="419">
        <f>SUM(BL38,BM38)</f>
        <v>0</v>
      </c>
      <c r="BO38" s="426">
        <f t="shared" si="80"/>
        <v>0</v>
      </c>
      <c r="BP38" s="427">
        <f t="shared" si="81"/>
        <v>0</v>
      </c>
      <c r="BQ38" s="419">
        <f>SUM(BO38,BP38)</f>
        <v>0</v>
      </c>
      <c r="BR38" s="426">
        <f t="shared" si="82"/>
        <v>0</v>
      </c>
      <c r="BS38" s="427">
        <f t="shared" si="83"/>
        <v>0</v>
      </c>
      <c r="BT38" s="419">
        <f>SUM(BR38,BS38)</f>
        <v>0</v>
      </c>
      <c r="BU38" s="426">
        <f t="shared" si="84"/>
        <v>0</v>
      </c>
      <c r="BV38" s="427">
        <f t="shared" si="85"/>
        <v>0</v>
      </c>
      <c r="BW38" s="419">
        <f>SUM(BU38,BV38)</f>
        <v>0</v>
      </c>
      <c r="BX38" s="426">
        <f t="shared" si="86"/>
        <v>0</v>
      </c>
      <c r="BY38" s="427">
        <f t="shared" si="87"/>
        <v>0</v>
      </c>
      <c r="BZ38" s="419">
        <f t="shared" si="88"/>
        <v>0</v>
      </c>
      <c r="CA38" s="426">
        <f t="shared" si="89"/>
        <v>0</v>
      </c>
      <c r="CB38" s="427">
        <f t="shared" si="90"/>
        <v>0</v>
      </c>
      <c r="CC38" s="419">
        <f t="shared" si="91"/>
        <v>0</v>
      </c>
      <c r="CD38" s="426">
        <f t="shared" si="92"/>
        <v>0</v>
      </c>
      <c r="CE38" s="427">
        <f t="shared" si="93"/>
        <v>0</v>
      </c>
      <c r="CF38" s="419">
        <f t="shared" si="94"/>
        <v>0</v>
      </c>
      <c r="CG38" s="426">
        <f t="shared" si="95"/>
        <v>0</v>
      </c>
      <c r="CH38" s="427">
        <f t="shared" si="96"/>
        <v>0</v>
      </c>
      <c r="CI38" s="419">
        <f t="shared" si="97"/>
        <v>0</v>
      </c>
      <c r="CJ38" s="426">
        <f t="shared" si="98"/>
        <v>0</v>
      </c>
      <c r="CK38" s="427">
        <f t="shared" si="99"/>
        <v>0</v>
      </c>
      <c r="CL38" s="419">
        <f t="shared" si="100"/>
        <v>0</v>
      </c>
      <c r="CM38" s="426">
        <f t="shared" si="101"/>
        <v>0</v>
      </c>
      <c r="CN38" s="427">
        <f t="shared" si="102"/>
        <v>0</v>
      </c>
      <c r="CO38" s="419">
        <f t="shared" si="103"/>
        <v>0</v>
      </c>
      <c r="CP38" s="426">
        <f t="shared" si="104"/>
        <v>0</v>
      </c>
      <c r="CQ38" s="427">
        <f t="shared" si="105"/>
        <v>0</v>
      </c>
      <c r="CR38" s="419">
        <f t="shared" si="106"/>
        <v>0</v>
      </c>
      <c r="CS38" s="426">
        <f t="shared" si="107"/>
        <v>0</v>
      </c>
      <c r="CT38" s="427">
        <f t="shared" si="108"/>
        <v>0</v>
      </c>
      <c r="CU38" s="419">
        <f t="shared" si="109"/>
        <v>0</v>
      </c>
      <c r="CV38" s="426">
        <f t="shared" si="110"/>
        <v>0</v>
      </c>
      <c r="CW38" s="427">
        <f t="shared" si="111"/>
        <v>0</v>
      </c>
      <c r="CX38" s="419">
        <f t="shared" si="112"/>
        <v>0</v>
      </c>
    </row>
    <row r="39" spans="1:102">
      <c r="A39" s="430" t="str">
        <f>'HSZ do groszy'!A39</f>
        <v>Nordea Bank 2010</v>
      </c>
      <c r="B39" s="431">
        <f>ROUNDUP('HSZ do groszy'!B39,0)</f>
        <v>16000000</v>
      </c>
      <c r="C39" s="418">
        <f>ROUNDUP('HSZ do groszy'!C39,0)</f>
        <v>0</v>
      </c>
      <c r="D39" s="419">
        <f>ROUNDUP('HSZ do groszy'!D39,0)</f>
        <v>818619</v>
      </c>
      <c r="E39" s="584">
        <f t="shared" si="71"/>
        <v>16000000</v>
      </c>
      <c r="F39" s="420">
        <f t="shared" si="72"/>
        <v>4163445</v>
      </c>
      <c r="G39" s="418">
        <f>ROUNDUP('HSZ do groszy'!G39,0)</f>
        <v>0</v>
      </c>
      <c r="H39" s="419">
        <f>ROUNDUP('HSZ do groszy'!H39,0)</f>
        <v>818619</v>
      </c>
      <c r="I39" s="418">
        <f>ROUNDUP('HSZ do groszy'!I39,0)</f>
        <v>2000000</v>
      </c>
      <c r="J39" s="419">
        <f>ROUNDUP('HSZ do groszy'!J39,0)</f>
        <v>818619</v>
      </c>
      <c r="K39" s="421">
        <f>ROUNDUP('HSZ do groszy'!K39,0)</f>
        <v>0</v>
      </c>
      <c r="L39" s="422">
        <f>ROUNDUP('HSZ do groszy'!L39,0)</f>
        <v>818619</v>
      </c>
      <c r="M39" s="418">
        <f>ROUNDUP('HSZ do groszy'!M39,0)</f>
        <v>3000000</v>
      </c>
      <c r="N39" s="419">
        <f>ROUNDUP('HSZ do groszy'!N39,0)</f>
        <v>818619</v>
      </c>
      <c r="O39" s="421">
        <f>ROUNDUP('HSZ do groszy'!O39,0)</f>
        <v>5500000</v>
      </c>
      <c r="P39" s="422">
        <f>ROUNDUP('HSZ do groszy'!P39,0)</f>
        <v>562800</v>
      </c>
      <c r="Q39" s="418">
        <f>ROUNDUP('HSZ do groszy'!Q39,0)</f>
        <v>5500000</v>
      </c>
      <c r="R39" s="419">
        <f>ROUNDUP('HSZ do groszy'!R39,0)</f>
        <v>326169</v>
      </c>
      <c r="S39" s="421">
        <f>ROUNDUP('HSZ do groszy'!S39,0)</f>
        <v>0</v>
      </c>
      <c r="T39" s="422">
        <f>ROUNDUP('HSZ do groszy'!T39,0)</f>
        <v>0</v>
      </c>
      <c r="U39" s="418">
        <f>ROUNDUP('HSZ do groszy'!U39,0)</f>
        <v>0</v>
      </c>
      <c r="V39" s="419">
        <f>ROUNDUP('HSZ do groszy'!V39,0)</f>
        <v>0</v>
      </c>
      <c r="W39" s="421">
        <f>ROUNDUP('HSZ do groszy'!W39,0)</f>
        <v>0</v>
      </c>
      <c r="X39" s="422">
        <f>ROUNDUP('HSZ do groszy'!X39,0)</f>
        <v>0</v>
      </c>
      <c r="Y39" s="418">
        <f>ROUNDUP('HSZ do groszy'!Y39,0)</f>
        <v>0</v>
      </c>
      <c r="Z39" s="419">
        <f>ROUNDUP('HSZ do groszy'!Z39,0)</f>
        <v>0</v>
      </c>
      <c r="AA39" s="421">
        <f>ROUNDUP('HSZ do groszy'!AA39,0)</f>
        <v>0</v>
      </c>
      <c r="AB39" s="422">
        <f>ROUNDUP('HSZ do groszy'!AB39,0)</f>
        <v>0</v>
      </c>
      <c r="AC39" s="418">
        <f>ROUNDUP('HSZ do groszy'!AC39,0)</f>
        <v>0</v>
      </c>
      <c r="AD39" s="419">
        <f>ROUNDUP('HSZ do groszy'!AD39,0)</f>
        <v>0</v>
      </c>
      <c r="AE39" s="421">
        <f>ROUNDUP('HSZ do groszy'!AE39,0)</f>
        <v>0</v>
      </c>
      <c r="AF39" s="419">
        <f>ROUNDUP('HSZ do groszy'!AF39,0)</f>
        <v>0</v>
      </c>
      <c r="AG39" s="421">
        <f>ROUNDUP('HSZ do groszy'!AG39,0)</f>
        <v>0</v>
      </c>
      <c r="AH39" s="423">
        <f>ROUNDUP('HSZ do groszy'!AH39,0)</f>
        <v>0</v>
      </c>
      <c r="AI39" s="421">
        <f>ROUNDUP('HSZ do groszy'!AI39,0)</f>
        <v>0</v>
      </c>
      <c r="AJ39" s="423">
        <f>ROUNDUP('HSZ do groszy'!AJ39,0)</f>
        <v>0</v>
      </c>
      <c r="AK39" s="421">
        <f>ROUNDUP('HSZ do groszy'!AK39,0)</f>
        <v>0</v>
      </c>
      <c r="AL39" s="423">
        <f>ROUNDUP('HSZ do groszy'!AL39,0)</f>
        <v>0</v>
      </c>
      <c r="AM39" s="421">
        <f>ROUNDUP('HSZ do groszy'!AM39,0)</f>
        <v>0</v>
      </c>
      <c r="AN39" s="423">
        <f>ROUNDUP('HSZ do groszy'!AN39,0)</f>
        <v>0</v>
      </c>
      <c r="AO39" s="421">
        <f>ROUNDUP('HSZ do groszy'!AO39,0)</f>
        <v>0</v>
      </c>
      <c r="AP39" s="423">
        <f>ROUNDUP('HSZ do groszy'!AP39,0)</f>
        <v>0</v>
      </c>
      <c r="AQ39" s="421">
        <f>ROUNDUP('HSZ do groszy'!AQ39,0)</f>
        <v>0</v>
      </c>
      <c r="AR39" s="423">
        <f>ROUNDUP('HSZ do groszy'!AR39,0)</f>
        <v>0</v>
      </c>
      <c r="AS39" s="193"/>
      <c r="AT39" s="193"/>
      <c r="AU39" s="424" t="str">
        <f t="shared" si="73"/>
        <v>Nordea Bank 2010</v>
      </c>
      <c r="AV39" s="425">
        <f t="shared" si="73"/>
        <v>16000000</v>
      </c>
      <c r="AW39" s="426">
        <f>SUM($I39,$K39,$M39,$O39,$Q39,$S39,$U39,$W39,$Y39,$AA39,$AC39,$AE39,$AG39)</f>
        <v>16000000</v>
      </c>
      <c r="AX39" s="427">
        <f>SUM($J39,$L39,$N39,$P39,$R39,$T39,$V39,$X39,$Z39,$AB39,$AD39,$AF39,$AH39)</f>
        <v>3344826</v>
      </c>
      <c r="AY39" s="419">
        <f>SUM(AW39,AX39)</f>
        <v>19344826</v>
      </c>
      <c r="AZ39" s="426">
        <f>SUM($K39,$M39,$O39,$Q39,$S39,$U39,$W39,$Y39,$AA39,$AC39,$AE39,$AG39)</f>
        <v>14000000</v>
      </c>
      <c r="BA39" s="427">
        <f>SUM($L39,$N39,$P39,$R39,$T39,$V39,$X39,$Z39,$AB39,$AD39,$AF39,$AH39)</f>
        <v>2526207</v>
      </c>
      <c r="BB39" s="419">
        <f>SUM(AZ39,BA39)</f>
        <v>16526207</v>
      </c>
      <c r="BC39" s="426">
        <f>SUM($M39,$O39,$Q39,$S39,$U39,$W39,$Y39,$AA39,$AC39,$AE39,$AG39)</f>
        <v>14000000</v>
      </c>
      <c r="BD39" s="427">
        <f>SUM($N39,$P39,$R39,$T39,$V39,$X39,$Z39,$AB39,$AD39,$AF39,$AH39)</f>
        <v>1707588</v>
      </c>
      <c r="BE39" s="419">
        <f>SUM(BC39,BD39)</f>
        <v>15707588</v>
      </c>
      <c r="BF39" s="426">
        <f t="shared" si="74"/>
        <v>11000000</v>
      </c>
      <c r="BG39" s="427">
        <f t="shared" si="75"/>
        <v>888969</v>
      </c>
      <c r="BH39" s="419">
        <f>SUM(BF39,BG39)</f>
        <v>11888969</v>
      </c>
      <c r="BI39" s="426">
        <f t="shared" si="76"/>
        <v>5500000</v>
      </c>
      <c r="BJ39" s="427">
        <f t="shared" si="77"/>
        <v>326169</v>
      </c>
      <c r="BK39" s="419">
        <f>SUM(BI39,BJ39)</f>
        <v>5826169</v>
      </c>
      <c r="BL39" s="426">
        <f t="shared" si="78"/>
        <v>0</v>
      </c>
      <c r="BM39" s="427">
        <f t="shared" si="79"/>
        <v>0</v>
      </c>
      <c r="BN39" s="419">
        <f>SUM(BL39,BM39)</f>
        <v>0</v>
      </c>
      <c r="BO39" s="426">
        <f t="shared" si="80"/>
        <v>0</v>
      </c>
      <c r="BP39" s="427">
        <f t="shared" si="81"/>
        <v>0</v>
      </c>
      <c r="BQ39" s="419">
        <f>SUM(BO39,BP39)</f>
        <v>0</v>
      </c>
      <c r="BR39" s="426">
        <f t="shared" si="82"/>
        <v>0</v>
      </c>
      <c r="BS39" s="427">
        <f t="shared" si="83"/>
        <v>0</v>
      </c>
      <c r="BT39" s="419">
        <f>SUM(BR39,BS39)</f>
        <v>0</v>
      </c>
      <c r="BU39" s="426">
        <f t="shared" si="84"/>
        <v>0</v>
      </c>
      <c r="BV39" s="427">
        <f t="shared" si="85"/>
        <v>0</v>
      </c>
      <c r="BW39" s="419">
        <f>SUM(BU39,BV39)</f>
        <v>0</v>
      </c>
      <c r="BX39" s="426">
        <f t="shared" si="86"/>
        <v>0</v>
      </c>
      <c r="BY39" s="427">
        <f t="shared" si="87"/>
        <v>0</v>
      </c>
      <c r="BZ39" s="419">
        <f t="shared" si="88"/>
        <v>0</v>
      </c>
      <c r="CA39" s="426">
        <f t="shared" si="89"/>
        <v>0</v>
      </c>
      <c r="CB39" s="427">
        <f t="shared" si="90"/>
        <v>0</v>
      </c>
      <c r="CC39" s="419">
        <f t="shared" si="91"/>
        <v>0</v>
      </c>
      <c r="CD39" s="426">
        <f t="shared" si="92"/>
        <v>0</v>
      </c>
      <c r="CE39" s="427">
        <f t="shared" si="93"/>
        <v>0</v>
      </c>
      <c r="CF39" s="419">
        <f t="shared" si="94"/>
        <v>0</v>
      </c>
      <c r="CG39" s="426">
        <f t="shared" si="95"/>
        <v>0</v>
      </c>
      <c r="CH39" s="427">
        <f t="shared" si="96"/>
        <v>0</v>
      </c>
      <c r="CI39" s="419">
        <f t="shared" si="97"/>
        <v>0</v>
      </c>
      <c r="CJ39" s="426">
        <f t="shared" si="98"/>
        <v>0</v>
      </c>
      <c r="CK39" s="427">
        <f t="shared" si="99"/>
        <v>0</v>
      </c>
      <c r="CL39" s="419">
        <f t="shared" si="100"/>
        <v>0</v>
      </c>
      <c r="CM39" s="426">
        <f t="shared" si="101"/>
        <v>0</v>
      </c>
      <c r="CN39" s="427">
        <f t="shared" si="102"/>
        <v>0</v>
      </c>
      <c r="CO39" s="419">
        <f t="shared" si="103"/>
        <v>0</v>
      </c>
      <c r="CP39" s="426">
        <f t="shared" si="104"/>
        <v>0</v>
      </c>
      <c r="CQ39" s="427">
        <f t="shared" si="105"/>
        <v>0</v>
      </c>
      <c r="CR39" s="419">
        <f t="shared" si="106"/>
        <v>0</v>
      </c>
      <c r="CS39" s="426">
        <f t="shared" si="107"/>
        <v>0</v>
      </c>
      <c r="CT39" s="427">
        <f t="shared" si="108"/>
        <v>0</v>
      </c>
      <c r="CU39" s="419">
        <f t="shared" si="109"/>
        <v>0</v>
      </c>
      <c r="CV39" s="426">
        <f t="shared" si="110"/>
        <v>0</v>
      </c>
      <c r="CW39" s="427">
        <f t="shared" si="111"/>
        <v>0</v>
      </c>
      <c r="CX39" s="419">
        <f t="shared" si="112"/>
        <v>0</v>
      </c>
    </row>
    <row r="40" spans="1:102">
      <c r="A40" s="432" t="str">
        <f>'HSZ do groszy'!A40</f>
        <v>Nordea Bank 2011</v>
      </c>
      <c r="B40" s="431">
        <f>ROUNDUP('HSZ do groszy'!B40,0)</f>
        <v>10000000</v>
      </c>
      <c r="C40" s="418">
        <f>ROUNDUP('HSZ do groszy'!C40,0)</f>
        <v>0</v>
      </c>
      <c r="D40" s="419">
        <f>ROUNDUP('HSZ do groszy'!D40,0)</f>
        <v>0</v>
      </c>
      <c r="E40" s="584">
        <f t="shared" si="71"/>
        <v>10000000</v>
      </c>
      <c r="F40" s="420">
        <f t="shared" si="72"/>
        <v>3574454</v>
      </c>
      <c r="G40" s="418">
        <f>ROUNDUP('HSZ do groszy'!G40,0)</f>
        <v>0</v>
      </c>
      <c r="H40" s="419">
        <f>ROUNDUP('HSZ do groszy'!H40,0)</f>
        <v>511637</v>
      </c>
      <c r="I40" s="418">
        <f>ROUNDUP('HSZ do groszy'!I40,0)</f>
        <v>500000</v>
      </c>
      <c r="J40" s="419">
        <f>ROUNDUP('HSZ do groszy'!J40,0)</f>
        <v>602696</v>
      </c>
      <c r="K40" s="421">
        <f>ROUNDUP('HSZ do groszy'!K40,0)</f>
        <v>500000</v>
      </c>
      <c r="L40" s="422">
        <f>ROUNDUP('HSZ do groszy'!L40,0)</f>
        <v>486055</v>
      </c>
      <c r="M40" s="418">
        <f>ROUNDUP('HSZ do groszy'!M40,0)</f>
        <v>0</v>
      </c>
      <c r="N40" s="419">
        <f>ROUNDUP('HSZ do groszy'!N40,0)</f>
        <v>460473</v>
      </c>
      <c r="O40" s="421">
        <f>ROUNDUP('HSZ do groszy'!O40,0)</f>
        <v>500000</v>
      </c>
      <c r="P40" s="422">
        <f>ROUNDUP('HSZ do groszy'!P40,0)</f>
        <v>460473</v>
      </c>
      <c r="Q40" s="418">
        <f>ROUNDUP('HSZ do groszy'!Q40,0)</f>
        <v>500000</v>
      </c>
      <c r="R40" s="419">
        <f>ROUNDUP('HSZ do groszy'!R40,0)</f>
        <v>439155</v>
      </c>
      <c r="S40" s="421">
        <f>ROUNDUP('HSZ do groszy'!S40,0)</f>
        <v>4000000</v>
      </c>
      <c r="T40" s="422">
        <f>ROUNDUP('HSZ do groszy'!T40,0)</f>
        <v>409310</v>
      </c>
      <c r="U40" s="418">
        <f>ROUNDUP('HSZ do groszy'!U40,0)</f>
        <v>4000000</v>
      </c>
      <c r="V40" s="419">
        <f>ROUNDUP('HSZ do groszy'!V40,0)</f>
        <v>204655</v>
      </c>
      <c r="W40" s="421">
        <f>ROUNDUP('HSZ do groszy'!W40,0)</f>
        <v>0</v>
      </c>
      <c r="X40" s="422">
        <f>ROUNDUP('HSZ do groszy'!X40,0)</f>
        <v>0</v>
      </c>
      <c r="Y40" s="418">
        <f>ROUNDUP('HSZ do groszy'!Y40,0)</f>
        <v>0</v>
      </c>
      <c r="Z40" s="419">
        <f>ROUNDUP('HSZ do groszy'!Z40,0)</f>
        <v>0</v>
      </c>
      <c r="AA40" s="421">
        <f>ROUNDUP('HSZ do groszy'!AA40,0)</f>
        <v>0</v>
      </c>
      <c r="AB40" s="422">
        <f>ROUNDUP('HSZ do groszy'!AB40,0)</f>
        <v>0</v>
      </c>
      <c r="AC40" s="418">
        <f>ROUNDUP('HSZ do groszy'!AC40,0)</f>
        <v>0</v>
      </c>
      <c r="AD40" s="419">
        <f>ROUNDUP('HSZ do groszy'!AD40,0)</f>
        <v>0</v>
      </c>
      <c r="AE40" s="421">
        <f>ROUNDUP('HSZ do groszy'!AE40,0)</f>
        <v>0</v>
      </c>
      <c r="AF40" s="419">
        <f>ROUNDUP('HSZ do groszy'!AF40,0)</f>
        <v>0</v>
      </c>
      <c r="AG40" s="421">
        <f>ROUNDUP('HSZ do groszy'!AG40,0)</f>
        <v>0</v>
      </c>
      <c r="AH40" s="423">
        <f>ROUNDUP('HSZ do groszy'!AH40,0)</f>
        <v>0</v>
      </c>
      <c r="AI40" s="421">
        <f>ROUNDUP('HSZ do groszy'!AI40,0)</f>
        <v>0</v>
      </c>
      <c r="AJ40" s="423">
        <f>ROUNDUP('HSZ do groszy'!AJ40,0)</f>
        <v>0</v>
      </c>
      <c r="AK40" s="421">
        <f>ROUNDUP('HSZ do groszy'!AK40,0)</f>
        <v>0</v>
      </c>
      <c r="AL40" s="423">
        <f>ROUNDUP('HSZ do groszy'!AL40,0)</f>
        <v>0</v>
      </c>
      <c r="AM40" s="421">
        <f>ROUNDUP('HSZ do groszy'!AM40,0)</f>
        <v>0</v>
      </c>
      <c r="AN40" s="423">
        <f>ROUNDUP('HSZ do groszy'!AN40,0)</f>
        <v>0</v>
      </c>
      <c r="AO40" s="421">
        <f>ROUNDUP('HSZ do groszy'!AO40,0)</f>
        <v>0</v>
      </c>
      <c r="AP40" s="423">
        <f>ROUNDUP('HSZ do groszy'!AP40,0)</f>
        <v>0</v>
      </c>
      <c r="AQ40" s="421">
        <f>ROUNDUP('HSZ do groszy'!AQ40,0)</f>
        <v>0</v>
      </c>
      <c r="AR40" s="423">
        <f>ROUNDUP('HSZ do groszy'!AR40,0)</f>
        <v>0</v>
      </c>
      <c r="AS40" s="193"/>
      <c r="AT40" s="193"/>
      <c r="AU40" s="424" t="str">
        <f t="shared" si="73"/>
        <v>Nordea Bank 2011</v>
      </c>
      <c r="AV40" s="425">
        <f t="shared" si="73"/>
        <v>10000000</v>
      </c>
      <c r="AW40" s="426">
        <f>SUM($I40,$K40,$M40,$O40,$Q40,$S40,$U40,$W40,$Y40,$AA40,$AC40,$AE40,$AG40)</f>
        <v>10000000</v>
      </c>
      <c r="AX40" s="427">
        <f>SUM($J40,$L40,$N40,$P40,$R40,$T40,$V40,$X40,$Z40,$AB40,$AD40,$AF40,$AH40)</f>
        <v>3062817</v>
      </c>
      <c r="AY40" s="419">
        <f>SUM(AW40,AX40)</f>
        <v>13062817</v>
      </c>
      <c r="AZ40" s="426">
        <f>SUM($K40,$M40,$O40,$Q40,$S40,$U40,$W40,$Y40,$AA40,$AC40,$AE40,$AG40)</f>
        <v>9500000</v>
      </c>
      <c r="BA40" s="427">
        <f>SUM($L40,$N40,$P40,$R40,$T40,$V40,$X40,$Z40,$AB40,$AD40,$AF40,$AH40)</f>
        <v>2460121</v>
      </c>
      <c r="BB40" s="419">
        <f>SUM(AZ40,BA40)</f>
        <v>11960121</v>
      </c>
      <c r="BC40" s="426">
        <f>SUM($M40,$O40,$Q40,$S40,$U40,$W40,$Y40,$AA40,$AC40,$AE40,$AG40)</f>
        <v>9000000</v>
      </c>
      <c r="BD40" s="427">
        <f>SUM($N40,$P40,$R40,$T40,$V40,$X40,$Z40,$AB40,$AD40,$AF40,$AH40)</f>
        <v>1974066</v>
      </c>
      <c r="BE40" s="419">
        <f>SUM(BC40,BD40)</f>
        <v>10974066</v>
      </c>
      <c r="BF40" s="426">
        <f t="shared" si="74"/>
        <v>9000000</v>
      </c>
      <c r="BG40" s="427">
        <f t="shared" si="75"/>
        <v>1513593</v>
      </c>
      <c r="BH40" s="419">
        <f>SUM(BF40,BG40)</f>
        <v>10513593</v>
      </c>
      <c r="BI40" s="426">
        <f t="shared" si="76"/>
        <v>8500000</v>
      </c>
      <c r="BJ40" s="427">
        <f t="shared" si="77"/>
        <v>1053120</v>
      </c>
      <c r="BK40" s="419">
        <f>SUM(BI40,BJ40)</f>
        <v>9553120</v>
      </c>
      <c r="BL40" s="426">
        <f t="shared" si="78"/>
        <v>8000000</v>
      </c>
      <c r="BM40" s="427">
        <f t="shared" si="79"/>
        <v>613965</v>
      </c>
      <c r="BN40" s="419">
        <f>SUM(BL40,BM40)</f>
        <v>8613965</v>
      </c>
      <c r="BO40" s="426">
        <f t="shared" si="80"/>
        <v>4000000</v>
      </c>
      <c r="BP40" s="427">
        <f t="shared" si="81"/>
        <v>204655</v>
      </c>
      <c r="BQ40" s="419">
        <f>SUM(BO40,BP40)</f>
        <v>4204655</v>
      </c>
      <c r="BR40" s="426">
        <f t="shared" si="82"/>
        <v>0</v>
      </c>
      <c r="BS40" s="427">
        <f t="shared" si="83"/>
        <v>0</v>
      </c>
      <c r="BT40" s="419">
        <f>SUM(BR40,BS40)</f>
        <v>0</v>
      </c>
      <c r="BU40" s="426">
        <f t="shared" si="84"/>
        <v>0</v>
      </c>
      <c r="BV40" s="427">
        <f t="shared" si="85"/>
        <v>0</v>
      </c>
      <c r="BW40" s="419">
        <f>SUM(BU40,BV40)</f>
        <v>0</v>
      </c>
      <c r="BX40" s="426">
        <f t="shared" si="86"/>
        <v>0</v>
      </c>
      <c r="BY40" s="427">
        <f t="shared" si="87"/>
        <v>0</v>
      </c>
      <c r="BZ40" s="419">
        <f t="shared" si="88"/>
        <v>0</v>
      </c>
      <c r="CA40" s="426">
        <f t="shared" si="89"/>
        <v>0</v>
      </c>
      <c r="CB40" s="427">
        <f t="shared" si="90"/>
        <v>0</v>
      </c>
      <c r="CC40" s="419">
        <f t="shared" si="91"/>
        <v>0</v>
      </c>
      <c r="CD40" s="426">
        <f t="shared" si="92"/>
        <v>0</v>
      </c>
      <c r="CE40" s="427">
        <f t="shared" si="93"/>
        <v>0</v>
      </c>
      <c r="CF40" s="419">
        <f t="shared" si="94"/>
        <v>0</v>
      </c>
      <c r="CG40" s="426">
        <f t="shared" si="95"/>
        <v>0</v>
      </c>
      <c r="CH40" s="427">
        <f t="shared" si="96"/>
        <v>0</v>
      </c>
      <c r="CI40" s="419">
        <f t="shared" si="97"/>
        <v>0</v>
      </c>
      <c r="CJ40" s="426">
        <f t="shared" si="98"/>
        <v>0</v>
      </c>
      <c r="CK40" s="427">
        <f t="shared" si="99"/>
        <v>0</v>
      </c>
      <c r="CL40" s="419">
        <f t="shared" si="100"/>
        <v>0</v>
      </c>
      <c r="CM40" s="426">
        <f t="shared" si="101"/>
        <v>0</v>
      </c>
      <c r="CN40" s="427">
        <f t="shared" si="102"/>
        <v>0</v>
      </c>
      <c r="CO40" s="419">
        <f t="shared" si="103"/>
        <v>0</v>
      </c>
      <c r="CP40" s="426">
        <f t="shared" si="104"/>
        <v>0</v>
      </c>
      <c r="CQ40" s="427">
        <f t="shared" si="105"/>
        <v>0</v>
      </c>
      <c r="CR40" s="419">
        <f t="shared" si="106"/>
        <v>0</v>
      </c>
      <c r="CS40" s="426">
        <f t="shared" si="107"/>
        <v>0</v>
      </c>
      <c r="CT40" s="427">
        <f t="shared" si="108"/>
        <v>0</v>
      </c>
      <c r="CU40" s="419">
        <f t="shared" si="109"/>
        <v>0</v>
      </c>
      <c r="CV40" s="426">
        <f t="shared" si="110"/>
        <v>0</v>
      </c>
      <c r="CW40" s="427">
        <f t="shared" si="111"/>
        <v>0</v>
      </c>
      <c r="CX40" s="419">
        <f t="shared" si="112"/>
        <v>0</v>
      </c>
    </row>
    <row r="41" spans="1:102">
      <c r="A41" s="432"/>
      <c r="B41" s="431"/>
      <c r="C41" s="418"/>
      <c r="D41" s="419"/>
      <c r="E41" s="584"/>
      <c r="F41" s="420"/>
      <c r="G41" s="418"/>
      <c r="H41" s="419"/>
      <c r="I41" s="418"/>
      <c r="J41" s="419"/>
      <c r="K41" s="421"/>
      <c r="L41" s="422"/>
      <c r="M41" s="418"/>
      <c r="N41" s="419"/>
      <c r="O41" s="421"/>
      <c r="P41" s="422"/>
      <c r="Q41" s="418"/>
      <c r="R41" s="419"/>
      <c r="S41" s="421"/>
      <c r="T41" s="422"/>
      <c r="U41" s="418"/>
      <c r="V41" s="419"/>
      <c r="W41" s="421"/>
      <c r="X41" s="422"/>
      <c r="Y41" s="418"/>
      <c r="Z41" s="419"/>
      <c r="AA41" s="421"/>
      <c r="AB41" s="422"/>
      <c r="AC41" s="418"/>
      <c r="AD41" s="419"/>
      <c r="AE41" s="421"/>
      <c r="AF41" s="419"/>
      <c r="AG41" s="421"/>
      <c r="AH41" s="423"/>
      <c r="AI41" s="421"/>
      <c r="AJ41" s="423"/>
      <c r="AK41" s="421"/>
      <c r="AL41" s="423"/>
      <c r="AM41" s="421"/>
      <c r="AN41" s="423"/>
      <c r="AO41" s="421"/>
      <c r="AP41" s="423"/>
      <c r="AQ41" s="421"/>
      <c r="AR41" s="423"/>
      <c r="AS41" s="193"/>
      <c r="AT41" s="193"/>
      <c r="AU41" s="424"/>
      <c r="AV41" s="425"/>
      <c r="AW41" s="426"/>
      <c r="AX41" s="427"/>
      <c r="AY41" s="419"/>
      <c r="AZ41" s="426"/>
      <c r="BA41" s="427"/>
      <c r="BB41" s="419"/>
      <c r="BC41" s="426"/>
      <c r="BD41" s="427"/>
      <c r="BE41" s="419"/>
      <c r="BF41" s="426"/>
      <c r="BG41" s="427"/>
      <c r="BH41" s="419"/>
      <c r="BI41" s="426"/>
      <c r="BJ41" s="427"/>
      <c r="BK41" s="419"/>
      <c r="BL41" s="426"/>
      <c r="BM41" s="427"/>
      <c r="BN41" s="419"/>
      <c r="BO41" s="426"/>
      <c r="BP41" s="427"/>
      <c r="BQ41" s="419"/>
      <c r="BR41" s="426"/>
      <c r="BS41" s="427"/>
      <c r="BT41" s="419"/>
      <c r="BU41" s="426"/>
      <c r="BV41" s="427"/>
      <c r="BW41" s="419"/>
      <c r="BX41" s="426"/>
      <c r="BY41" s="427"/>
      <c r="BZ41" s="419"/>
      <c r="CA41" s="426"/>
      <c r="CB41" s="427"/>
      <c r="CC41" s="419"/>
      <c r="CD41" s="426"/>
      <c r="CE41" s="427"/>
      <c r="CF41" s="419"/>
      <c r="CG41" s="426"/>
      <c r="CH41" s="427"/>
      <c r="CI41" s="419"/>
      <c r="CJ41" s="426"/>
      <c r="CK41" s="427"/>
      <c r="CL41" s="419"/>
      <c r="CM41" s="426"/>
      <c r="CN41" s="427"/>
      <c r="CO41" s="419"/>
      <c r="CP41" s="426"/>
      <c r="CQ41" s="427"/>
      <c r="CR41" s="419"/>
      <c r="CS41" s="426"/>
      <c r="CT41" s="427"/>
      <c r="CU41" s="419"/>
      <c r="CV41" s="426"/>
      <c r="CW41" s="427"/>
      <c r="CX41" s="419"/>
    </row>
    <row r="42" spans="1:102" s="562" customFormat="1">
      <c r="A42" s="571"/>
      <c r="B42" s="572"/>
      <c r="C42" s="573"/>
      <c r="D42" s="574"/>
      <c r="E42" s="586"/>
      <c r="F42" s="575"/>
      <c r="G42" s="573">
        <f>SUM(G36:G40)</f>
        <v>6300000</v>
      </c>
      <c r="H42" s="574">
        <f t="shared" ref="H42:AH42" si="113">SUM(H36:H40)</f>
        <v>2096896</v>
      </c>
      <c r="I42" s="573">
        <f t="shared" si="113"/>
        <v>9500000</v>
      </c>
      <c r="J42" s="574">
        <f t="shared" si="113"/>
        <v>2122231</v>
      </c>
      <c r="K42" s="576">
        <f t="shared" si="113"/>
        <v>3500000</v>
      </c>
      <c r="L42" s="577">
        <f t="shared" si="113"/>
        <v>1584674</v>
      </c>
      <c r="M42" s="573">
        <f t="shared" si="113"/>
        <v>3900000</v>
      </c>
      <c r="N42" s="574">
        <f t="shared" si="113"/>
        <v>1330933</v>
      </c>
      <c r="O42" s="576">
        <f t="shared" si="113"/>
        <v>6000000</v>
      </c>
      <c r="P42" s="577">
        <f t="shared" si="113"/>
        <v>1023273</v>
      </c>
      <c r="Q42" s="573">
        <f t="shared" si="113"/>
        <v>6000000</v>
      </c>
      <c r="R42" s="574">
        <f t="shared" si="113"/>
        <v>765324</v>
      </c>
      <c r="S42" s="576">
        <f t="shared" si="113"/>
        <v>4000000</v>
      </c>
      <c r="T42" s="577">
        <f t="shared" si="113"/>
        <v>409310</v>
      </c>
      <c r="U42" s="573">
        <f t="shared" si="113"/>
        <v>4000000</v>
      </c>
      <c r="V42" s="574">
        <f t="shared" si="113"/>
        <v>204655</v>
      </c>
      <c r="W42" s="576">
        <f t="shared" si="113"/>
        <v>0</v>
      </c>
      <c r="X42" s="577">
        <f t="shared" si="113"/>
        <v>0</v>
      </c>
      <c r="Y42" s="573">
        <f t="shared" si="113"/>
        <v>0</v>
      </c>
      <c r="Z42" s="574">
        <f t="shared" si="113"/>
        <v>0</v>
      </c>
      <c r="AA42" s="576">
        <f t="shared" si="113"/>
        <v>0</v>
      </c>
      <c r="AB42" s="577">
        <f t="shared" si="113"/>
        <v>0</v>
      </c>
      <c r="AC42" s="573">
        <f t="shared" si="113"/>
        <v>0</v>
      </c>
      <c r="AD42" s="574">
        <f t="shared" si="113"/>
        <v>0</v>
      </c>
      <c r="AE42" s="576">
        <f t="shared" si="113"/>
        <v>0</v>
      </c>
      <c r="AF42" s="574">
        <f t="shared" si="113"/>
        <v>0</v>
      </c>
      <c r="AG42" s="576">
        <f t="shared" si="113"/>
        <v>0</v>
      </c>
      <c r="AH42" s="578">
        <f t="shared" si="113"/>
        <v>0</v>
      </c>
      <c r="AI42" s="576">
        <f t="shared" ref="AI42:AR42" si="114">SUM(AI36:AI40)</f>
        <v>0</v>
      </c>
      <c r="AJ42" s="578">
        <f t="shared" si="114"/>
        <v>0</v>
      </c>
      <c r="AK42" s="576">
        <f t="shared" si="114"/>
        <v>0</v>
      </c>
      <c r="AL42" s="578">
        <f t="shared" si="114"/>
        <v>0</v>
      </c>
      <c r="AM42" s="576">
        <f t="shared" si="114"/>
        <v>0</v>
      </c>
      <c r="AN42" s="578">
        <f t="shared" si="114"/>
        <v>0</v>
      </c>
      <c r="AO42" s="576">
        <f t="shared" si="114"/>
        <v>0</v>
      </c>
      <c r="AP42" s="578">
        <f t="shared" si="114"/>
        <v>0</v>
      </c>
      <c r="AQ42" s="576">
        <f t="shared" si="114"/>
        <v>0</v>
      </c>
      <c r="AR42" s="578">
        <f t="shared" si="114"/>
        <v>0</v>
      </c>
      <c r="AS42" s="579"/>
      <c r="AT42" s="579"/>
      <c r="AU42" s="580"/>
      <c r="AV42" s="581"/>
      <c r="AW42" s="582"/>
      <c r="AX42" s="583"/>
      <c r="AY42" s="574"/>
      <c r="AZ42" s="582"/>
      <c r="BA42" s="583"/>
      <c r="BB42" s="574"/>
      <c r="BC42" s="582"/>
      <c r="BD42" s="583"/>
      <c r="BE42" s="574"/>
      <c r="BF42" s="582"/>
      <c r="BG42" s="583"/>
      <c r="BH42" s="574"/>
      <c r="BI42" s="582"/>
      <c r="BJ42" s="583"/>
      <c r="BK42" s="574"/>
      <c r="BL42" s="582"/>
      <c r="BM42" s="583"/>
      <c r="BN42" s="574"/>
      <c r="BO42" s="582"/>
      <c r="BP42" s="583"/>
      <c r="BQ42" s="574"/>
      <c r="BR42" s="582"/>
      <c r="BS42" s="583"/>
      <c r="BT42" s="574"/>
      <c r="BU42" s="582"/>
      <c r="BV42" s="583"/>
      <c r="BW42" s="574"/>
      <c r="BX42" s="582"/>
      <c r="BY42" s="583"/>
      <c r="BZ42" s="574"/>
      <c r="CA42" s="582"/>
      <c r="CB42" s="583"/>
      <c r="CC42" s="574"/>
      <c r="CD42" s="582"/>
      <c r="CE42" s="583"/>
      <c r="CF42" s="574"/>
      <c r="CG42" s="582"/>
      <c r="CH42" s="583"/>
      <c r="CI42" s="574"/>
      <c r="CJ42" s="582"/>
      <c r="CK42" s="583"/>
      <c r="CL42" s="574"/>
      <c r="CM42" s="582"/>
      <c r="CN42" s="583"/>
      <c r="CO42" s="574"/>
      <c r="CP42" s="582"/>
      <c r="CQ42" s="583"/>
      <c r="CR42" s="574"/>
      <c r="CS42" s="582"/>
      <c r="CT42" s="583"/>
      <c r="CU42" s="574"/>
      <c r="CV42" s="582"/>
      <c r="CW42" s="583"/>
      <c r="CX42" s="574"/>
    </row>
    <row r="43" spans="1:102">
      <c r="A43" s="432"/>
      <c r="B43" s="431">
        <f>ROUNDUP('HSZ do groszy'!B43,0)</f>
        <v>0</v>
      </c>
      <c r="C43" s="418">
        <f>ROUNDUP('HSZ do groszy'!C43,0)</f>
        <v>0</v>
      </c>
      <c r="D43" s="419">
        <f>ROUNDUP('HSZ do groszy'!D43,0)</f>
        <v>0</v>
      </c>
      <c r="E43" s="584">
        <f t="shared" si="71"/>
        <v>0</v>
      </c>
      <c r="F43" s="420">
        <f t="shared" si="72"/>
        <v>0</v>
      </c>
      <c r="G43" s="418">
        <f>ROUNDUP('HSZ do groszy'!G43,0)</f>
        <v>0</v>
      </c>
      <c r="H43" s="419">
        <f>ROUNDUP('HSZ do groszy'!H43,0)</f>
        <v>0</v>
      </c>
      <c r="I43" s="418">
        <f>ROUNDUP('HSZ do groszy'!I43,0)</f>
        <v>0</v>
      </c>
      <c r="J43" s="419">
        <f>ROUNDUP('HSZ do groszy'!J43,0)</f>
        <v>0</v>
      </c>
      <c r="K43" s="421">
        <f>ROUNDUP('HSZ do groszy'!K43,0)</f>
        <v>0</v>
      </c>
      <c r="L43" s="422">
        <f>ROUNDUP('HSZ do groszy'!L43,0)</f>
        <v>0</v>
      </c>
      <c r="M43" s="418">
        <f>ROUNDUP('HSZ do groszy'!M43,0)</f>
        <v>0</v>
      </c>
      <c r="N43" s="419">
        <f>ROUNDUP('HSZ do groszy'!N43,0)</f>
        <v>0</v>
      </c>
      <c r="O43" s="421">
        <f>ROUNDUP('HSZ do groszy'!O43,0)</f>
        <v>0</v>
      </c>
      <c r="P43" s="422">
        <f>ROUNDUP('HSZ do groszy'!P43,0)</f>
        <v>0</v>
      </c>
      <c r="Q43" s="418">
        <f>ROUNDUP('HSZ do groszy'!Q43,0)</f>
        <v>0</v>
      </c>
      <c r="R43" s="419">
        <f>ROUNDUP('HSZ do groszy'!R43,0)</f>
        <v>0</v>
      </c>
      <c r="S43" s="421">
        <f>ROUNDUP('HSZ do groszy'!S43,0)</f>
        <v>0</v>
      </c>
      <c r="T43" s="422">
        <f>ROUNDUP('HSZ do groszy'!T43,0)</f>
        <v>0</v>
      </c>
      <c r="U43" s="418">
        <f>ROUNDUP('HSZ do groszy'!U43,0)</f>
        <v>0</v>
      </c>
      <c r="V43" s="419">
        <f>ROUNDUP('HSZ do groszy'!V43,0)</f>
        <v>0</v>
      </c>
      <c r="W43" s="421">
        <f>ROUNDUP('HSZ do groszy'!W43,0)</f>
        <v>0</v>
      </c>
      <c r="X43" s="422">
        <f>ROUNDUP('HSZ do groszy'!X43,0)</f>
        <v>0</v>
      </c>
      <c r="Y43" s="418">
        <f>ROUNDUP('HSZ do groszy'!Y43,0)</f>
        <v>0</v>
      </c>
      <c r="Z43" s="419">
        <f>ROUNDUP('HSZ do groszy'!Z43,0)</f>
        <v>0</v>
      </c>
      <c r="AA43" s="421">
        <f>ROUNDUP('HSZ do groszy'!AA43,0)</f>
        <v>0</v>
      </c>
      <c r="AB43" s="422">
        <f>ROUNDUP('HSZ do groszy'!AB43,0)</f>
        <v>0</v>
      </c>
      <c r="AC43" s="418">
        <f>ROUNDUP('HSZ do groszy'!AC43,0)</f>
        <v>0</v>
      </c>
      <c r="AD43" s="419">
        <f>ROUNDUP('HSZ do groszy'!AD43,0)</f>
        <v>0</v>
      </c>
      <c r="AE43" s="421">
        <f>ROUNDUP('HSZ do groszy'!AE43,0)</f>
        <v>0</v>
      </c>
      <c r="AF43" s="419">
        <f>ROUNDUP('HSZ do groszy'!AF43,0)</f>
        <v>0</v>
      </c>
      <c r="AG43" s="421">
        <f>ROUNDUP('HSZ do groszy'!AG43,0)</f>
        <v>0</v>
      </c>
      <c r="AH43" s="423">
        <f>ROUNDUP('HSZ do groszy'!AH43,0)</f>
        <v>0</v>
      </c>
      <c r="AI43" s="421">
        <f>ROUNDUP('HSZ do groszy'!AI43,0)</f>
        <v>0</v>
      </c>
      <c r="AJ43" s="423">
        <f>ROUNDUP('HSZ do groszy'!AJ43,0)</f>
        <v>0</v>
      </c>
      <c r="AK43" s="421">
        <f>ROUNDUP('HSZ do groszy'!AK43,0)</f>
        <v>0</v>
      </c>
      <c r="AL43" s="423">
        <f>ROUNDUP('HSZ do groszy'!AL43,0)</f>
        <v>0</v>
      </c>
      <c r="AM43" s="421">
        <f>ROUNDUP('HSZ do groszy'!AM43,0)</f>
        <v>0</v>
      </c>
      <c r="AN43" s="423">
        <f>ROUNDUP('HSZ do groszy'!AN43,0)</f>
        <v>0</v>
      </c>
      <c r="AO43" s="421">
        <f>ROUNDUP('HSZ do groszy'!AO43,0)</f>
        <v>0</v>
      </c>
      <c r="AP43" s="423">
        <f>ROUNDUP('HSZ do groszy'!AP43,0)</f>
        <v>0</v>
      </c>
      <c r="AQ43" s="421">
        <f>ROUNDUP('HSZ do groszy'!AQ43,0)</f>
        <v>0</v>
      </c>
      <c r="AR43" s="423">
        <f>ROUNDUP('HSZ do groszy'!AR43,0)</f>
        <v>0</v>
      </c>
      <c r="AS43" s="193"/>
      <c r="AT43" s="193"/>
      <c r="AU43" s="424"/>
      <c r="AV43" s="425"/>
      <c r="AW43" s="426"/>
      <c r="AX43" s="427"/>
      <c r="AY43" s="419"/>
      <c r="AZ43" s="426"/>
      <c r="BA43" s="427"/>
      <c r="BB43" s="419"/>
      <c r="BC43" s="426"/>
      <c r="BD43" s="427"/>
      <c r="BE43" s="419"/>
      <c r="BF43" s="426"/>
      <c r="BG43" s="427"/>
      <c r="BH43" s="419"/>
      <c r="BI43" s="426"/>
      <c r="BJ43" s="427"/>
      <c r="BK43" s="419"/>
      <c r="BL43" s="426"/>
      <c r="BM43" s="427"/>
      <c r="BN43" s="419"/>
      <c r="BO43" s="426"/>
      <c r="BP43" s="427"/>
      <c r="BQ43" s="419"/>
      <c r="BR43" s="426"/>
      <c r="BS43" s="427"/>
      <c r="BT43" s="419"/>
      <c r="BU43" s="426"/>
      <c r="BV43" s="427"/>
      <c r="BW43" s="419"/>
      <c r="BX43" s="426"/>
      <c r="BY43" s="427"/>
      <c r="BZ43" s="419"/>
      <c r="CA43" s="426"/>
      <c r="CB43" s="427"/>
      <c r="CC43" s="419"/>
      <c r="CD43" s="426"/>
      <c r="CE43" s="427"/>
      <c r="CF43" s="419"/>
      <c r="CG43" s="426"/>
      <c r="CH43" s="427"/>
      <c r="CI43" s="419"/>
      <c r="CJ43" s="426"/>
      <c r="CK43" s="427"/>
      <c r="CL43" s="419"/>
      <c r="CM43" s="426"/>
      <c r="CN43" s="427"/>
      <c r="CO43" s="419"/>
      <c r="CP43" s="426"/>
      <c r="CQ43" s="427"/>
      <c r="CR43" s="419"/>
      <c r="CS43" s="426"/>
      <c r="CT43" s="427"/>
      <c r="CU43" s="419"/>
      <c r="CV43" s="426"/>
      <c r="CW43" s="427"/>
      <c r="CX43" s="419"/>
    </row>
    <row r="44" spans="1:102" s="602" customFormat="1">
      <c r="A44" s="588" t="str">
        <f>'HSZ do groszy'!A44</f>
        <v>Obligacje 2012</v>
      </c>
      <c r="B44" s="589">
        <f>ROUNDUP('HSZ do groszy'!B44,0)</f>
        <v>9000000</v>
      </c>
      <c r="C44" s="590">
        <f>ROUNDUP('HSZ do groszy'!C44,0)</f>
        <v>0</v>
      </c>
      <c r="D44" s="591">
        <f>ROUNDUP('HSZ do groszy'!D44,0)</f>
        <v>0</v>
      </c>
      <c r="E44" s="592">
        <f t="shared" si="71"/>
        <v>9000000</v>
      </c>
      <c r="F44" s="593">
        <f t="shared" si="72"/>
        <v>3790949</v>
      </c>
      <c r="G44" s="590">
        <f>ROUNDUP('HSZ do groszy'!G44,0)</f>
        <v>0</v>
      </c>
      <c r="H44" s="591">
        <f>ROUNDUP('HSZ do groszy'!H44,0)</f>
        <v>0</v>
      </c>
      <c r="I44" s="590">
        <f>ROUNDUP('HSZ do groszy'!I44,0)</f>
        <v>0</v>
      </c>
      <c r="J44" s="591">
        <f>ROUNDUP('HSZ do groszy'!J44,0)</f>
        <v>521588</v>
      </c>
      <c r="K44" s="594">
        <f>ROUNDUP('HSZ do groszy'!K44,0)</f>
        <v>0</v>
      </c>
      <c r="L44" s="595">
        <f>ROUNDUP('HSZ do groszy'!L44,0)</f>
        <v>521588</v>
      </c>
      <c r="M44" s="590">
        <f>ROUNDUP('HSZ do groszy'!M44,0)</f>
        <v>0</v>
      </c>
      <c r="N44" s="591">
        <f>ROUNDUP('HSZ do groszy'!N44,0)</f>
        <v>521588</v>
      </c>
      <c r="O44" s="594">
        <f>ROUNDUP('HSZ do groszy'!O44,0)</f>
        <v>0</v>
      </c>
      <c r="P44" s="595">
        <f>ROUNDUP('HSZ do groszy'!P44,0)</f>
        <v>521588</v>
      </c>
      <c r="Q44" s="590">
        <f>ROUNDUP('HSZ do groszy'!Q44,0)</f>
        <v>0</v>
      </c>
      <c r="R44" s="591">
        <f>ROUNDUP('HSZ do groszy'!R44,0)</f>
        <v>521588</v>
      </c>
      <c r="S44" s="594">
        <f>ROUNDUP('HSZ do groszy'!S44,0)</f>
        <v>2000000</v>
      </c>
      <c r="T44" s="595">
        <f>ROUNDUP('HSZ do groszy'!T44,0)</f>
        <v>521588</v>
      </c>
      <c r="U44" s="590">
        <f>ROUNDUP('HSZ do groszy'!U44,0)</f>
        <v>3000000</v>
      </c>
      <c r="V44" s="591">
        <f>ROUNDUP('HSZ do groszy'!V44,0)</f>
        <v>427788</v>
      </c>
      <c r="W44" s="594">
        <f>ROUNDUP('HSZ do groszy'!W44,0)</f>
        <v>4000000</v>
      </c>
      <c r="X44" s="595">
        <f>ROUNDUP('HSZ do groszy'!X44,0)</f>
        <v>233633</v>
      </c>
      <c r="Y44" s="590">
        <f>ROUNDUP('HSZ do groszy'!Y44,0)</f>
        <v>0</v>
      </c>
      <c r="Z44" s="591">
        <f>ROUNDUP('HSZ do groszy'!Z44,0)</f>
        <v>0</v>
      </c>
      <c r="AA44" s="594">
        <f>ROUNDUP('HSZ do groszy'!AA44,0)</f>
        <v>0</v>
      </c>
      <c r="AB44" s="595">
        <f>ROUNDUP('HSZ do groszy'!AB44,0)</f>
        <v>0</v>
      </c>
      <c r="AC44" s="590">
        <f>ROUNDUP('HSZ do groszy'!AC44,0)</f>
        <v>0</v>
      </c>
      <c r="AD44" s="591">
        <f>ROUNDUP('HSZ do groszy'!AD44,0)</f>
        <v>0</v>
      </c>
      <c r="AE44" s="594">
        <f>ROUNDUP('HSZ do groszy'!AE44,0)</f>
        <v>0</v>
      </c>
      <c r="AF44" s="591">
        <f>ROUNDUP('HSZ do groszy'!AF44,0)</f>
        <v>0</v>
      </c>
      <c r="AG44" s="594">
        <f>ROUNDUP('HSZ do groszy'!AG44,0)</f>
        <v>0</v>
      </c>
      <c r="AH44" s="596">
        <f>ROUNDUP('HSZ do groszy'!AH44,0)</f>
        <v>0</v>
      </c>
      <c r="AI44" s="594">
        <f>ROUNDUP('HSZ do groszy'!AI44,0)</f>
        <v>0</v>
      </c>
      <c r="AJ44" s="596">
        <f>ROUNDUP('HSZ do groszy'!AJ44,0)</f>
        <v>0</v>
      </c>
      <c r="AK44" s="594">
        <f>ROUNDUP('HSZ do groszy'!AK44,0)</f>
        <v>0</v>
      </c>
      <c r="AL44" s="596">
        <f>ROUNDUP('HSZ do groszy'!AL44,0)</f>
        <v>0</v>
      </c>
      <c r="AM44" s="594">
        <f>ROUNDUP('HSZ do groszy'!AM44,0)</f>
        <v>0</v>
      </c>
      <c r="AN44" s="596">
        <f>ROUNDUP('HSZ do groszy'!AN44,0)</f>
        <v>0</v>
      </c>
      <c r="AO44" s="594">
        <f>ROUNDUP('HSZ do groszy'!AO44,0)</f>
        <v>0</v>
      </c>
      <c r="AP44" s="596">
        <f>ROUNDUP('HSZ do groszy'!AP44,0)</f>
        <v>0</v>
      </c>
      <c r="AQ44" s="594">
        <f>ROUNDUP('HSZ do groszy'!AQ44,0)</f>
        <v>0</v>
      </c>
      <c r="AR44" s="596">
        <f>ROUNDUP('HSZ do groszy'!AR44,0)</f>
        <v>0</v>
      </c>
      <c r="AS44" s="597"/>
      <c r="AT44" s="597"/>
      <c r="AU44" s="598" t="str">
        <f>A44</f>
        <v>Obligacje 2012</v>
      </c>
      <c r="AV44" s="599"/>
      <c r="AW44" s="600">
        <f>SUM($I44,$K44,$M44,$O44,$Q44,$S44,$U44,$W44,$Y44,$AA44,$AC44,$AE44,$AG44)</f>
        <v>9000000</v>
      </c>
      <c r="AX44" s="601">
        <f>SUM($J44,$L44,$N44,$P44,$R44,$T44,$V44,$X44,$Z44,$AB44,$AD44,$AF44,$AH44)</f>
        <v>3790949</v>
      </c>
      <c r="AY44" s="591">
        <f>SUM(AW44,AX44)</f>
        <v>12790949</v>
      </c>
      <c r="AZ44" s="600">
        <f>SUM($K44,$M44,$O44,$Q44,$S44,$U44,$W44,$Y44,$AA44,$AC44,$AE44,$AG44)</f>
        <v>9000000</v>
      </c>
      <c r="BA44" s="601">
        <f>SUM($L44,$N44,$P44,$R44,$T44,$V44,$X44,$Z44,$AB44,$AD44,$AF44,$AH44)</f>
        <v>3269361</v>
      </c>
      <c r="BB44" s="591">
        <f>SUM(AZ44,BA44)</f>
        <v>12269361</v>
      </c>
      <c r="BC44" s="600">
        <f>SUM($M44,$O44,$Q44,$S44,$U44,$W44,$Y44,$AA44,$AC44,$AE44,$AG44)</f>
        <v>9000000</v>
      </c>
      <c r="BD44" s="601">
        <f>SUM($N44,$P44,$R44,$T44,$V44,$X44,$Z44,$AB44,$AD44,$AF44,$AH44)</f>
        <v>2747773</v>
      </c>
      <c r="BE44" s="591">
        <f>SUM(BC44,BD44)</f>
        <v>11747773</v>
      </c>
      <c r="BF44" s="600">
        <f t="shared" si="74"/>
        <v>9000000</v>
      </c>
      <c r="BG44" s="601">
        <f t="shared" si="75"/>
        <v>2226185</v>
      </c>
      <c r="BH44" s="591">
        <f>SUM(BF44,BG44)</f>
        <v>11226185</v>
      </c>
      <c r="BI44" s="600">
        <f t="shared" si="76"/>
        <v>9000000</v>
      </c>
      <c r="BJ44" s="601">
        <f t="shared" si="77"/>
        <v>1704597</v>
      </c>
      <c r="BK44" s="591">
        <f>SUM(BI44,BJ44)</f>
        <v>10704597</v>
      </c>
      <c r="BL44" s="600">
        <f t="shared" si="78"/>
        <v>9000000</v>
      </c>
      <c r="BM44" s="601">
        <f t="shared" si="79"/>
        <v>1183009</v>
      </c>
      <c r="BN44" s="591">
        <f>SUM(BL44,BM44)</f>
        <v>10183009</v>
      </c>
      <c r="BO44" s="600">
        <f t="shared" si="80"/>
        <v>7000000</v>
      </c>
      <c r="BP44" s="601">
        <f t="shared" si="81"/>
        <v>661421</v>
      </c>
      <c r="BQ44" s="591">
        <f>SUM(BO44,BP44)</f>
        <v>7661421</v>
      </c>
      <c r="BR44" s="600">
        <f t="shared" si="82"/>
        <v>4000000</v>
      </c>
      <c r="BS44" s="601">
        <f t="shared" si="83"/>
        <v>233633</v>
      </c>
      <c r="BT44" s="591">
        <f>SUM(BR44,BS44)</f>
        <v>4233633</v>
      </c>
      <c r="BU44" s="600">
        <f t="shared" si="84"/>
        <v>0</v>
      </c>
      <c r="BV44" s="601">
        <f t="shared" si="85"/>
        <v>0</v>
      </c>
      <c r="BW44" s="591">
        <f>SUM(BU44,BV44)</f>
        <v>0</v>
      </c>
      <c r="BX44" s="600">
        <f t="shared" si="86"/>
        <v>0</v>
      </c>
      <c r="BY44" s="601">
        <f t="shared" si="87"/>
        <v>0</v>
      </c>
      <c r="BZ44" s="591">
        <f t="shared" si="88"/>
        <v>0</v>
      </c>
      <c r="CA44" s="600">
        <f t="shared" si="89"/>
        <v>0</v>
      </c>
      <c r="CB44" s="601">
        <f t="shared" si="90"/>
        <v>0</v>
      </c>
      <c r="CC44" s="591">
        <f t="shared" si="91"/>
        <v>0</v>
      </c>
      <c r="CD44" s="600">
        <f t="shared" si="92"/>
        <v>0</v>
      </c>
      <c r="CE44" s="601">
        <f t="shared" si="93"/>
        <v>0</v>
      </c>
      <c r="CF44" s="591">
        <f t="shared" si="94"/>
        <v>0</v>
      </c>
      <c r="CG44" s="600">
        <f t="shared" si="95"/>
        <v>0</v>
      </c>
      <c r="CH44" s="601">
        <f t="shared" si="96"/>
        <v>0</v>
      </c>
      <c r="CI44" s="591">
        <f t="shared" si="97"/>
        <v>0</v>
      </c>
      <c r="CJ44" s="600">
        <f t="shared" si="98"/>
        <v>0</v>
      </c>
      <c r="CK44" s="601">
        <f t="shared" si="99"/>
        <v>0</v>
      </c>
      <c r="CL44" s="591">
        <f t="shared" ref="CL44" si="115">SUM(CJ44,CK44)</f>
        <v>0</v>
      </c>
      <c r="CM44" s="600">
        <f t="shared" si="101"/>
        <v>0</v>
      </c>
      <c r="CN44" s="601">
        <f t="shared" si="102"/>
        <v>0</v>
      </c>
      <c r="CO44" s="591">
        <f t="shared" ref="CO44" si="116">SUM(CM44,CN44)</f>
        <v>0</v>
      </c>
      <c r="CP44" s="600">
        <f t="shared" si="104"/>
        <v>0</v>
      </c>
      <c r="CQ44" s="601">
        <f t="shared" si="105"/>
        <v>0</v>
      </c>
      <c r="CR44" s="591">
        <f t="shared" ref="CR44" si="117">SUM(CP44,CQ44)</f>
        <v>0</v>
      </c>
      <c r="CS44" s="600">
        <f t="shared" si="107"/>
        <v>0</v>
      </c>
      <c r="CT44" s="601">
        <f t="shared" si="108"/>
        <v>0</v>
      </c>
      <c r="CU44" s="591">
        <f t="shared" ref="CU44" si="118">SUM(CS44,CT44)</f>
        <v>0</v>
      </c>
      <c r="CV44" s="600">
        <f t="shared" si="110"/>
        <v>0</v>
      </c>
      <c r="CW44" s="601">
        <f t="shared" si="111"/>
        <v>0</v>
      </c>
      <c r="CX44" s="591">
        <f t="shared" ref="CX44" si="119">SUM(CV44,CW44)</f>
        <v>0</v>
      </c>
    </row>
    <row r="45" spans="1:102">
      <c r="A45" s="432"/>
      <c r="B45" s="431"/>
      <c r="C45" s="418">
        <f>ROUNDUP('HSZ do groszy'!C45,0)</f>
        <v>0</v>
      </c>
      <c r="D45" s="419">
        <f>ROUNDUP('HSZ do groszy'!D45,0)</f>
        <v>0</v>
      </c>
      <c r="E45" s="584">
        <f t="shared" si="71"/>
        <v>0</v>
      </c>
      <c r="F45" s="420">
        <f t="shared" si="72"/>
        <v>0</v>
      </c>
      <c r="G45" s="418">
        <f>ROUNDUP('HSZ do groszy'!G45,0)</f>
        <v>0</v>
      </c>
      <c r="H45" s="419">
        <f>ROUNDUP('HSZ do groszy'!H45,0)</f>
        <v>0</v>
      </c>
      <c r="I45" s="418">
        <f>ROUNDUP('HSZ do groszy'!I45,0)</f>
        <v>0</v>
      </c>
      <c r="J45" s="419">
        <f>ROUNDUP('HSZ do groszy'!J45,0)</f>
        <v>0</v>
      </c>
      <c r="K45" s="421">
        <f>ROUNDUP('HSZ do groszy'!K45,0)</f>
        <v>0</v>
      </c>
      <c r="L45" s="422">
        <f>ROUNDUP('HSZ do groszy'!L45,0)</f>
        <v>0</v>
      </c>
      <c r="M45" s="418">
        <f>ROUNDUP('HSZ do groszy'!M45,0)</f>
        <v>0</v>
      </c>
      <c r="N45" s="419">
        <f>ROUNDUP('HSZ do groszy'!N45,0)</f>
        <v>0</v>
      </c>
      <c r="O45" s="421">
        <f>ROUNDUP('HSZ do groszy'!O45,0)</f>
        <v>0</v>
      </c>
      <c r="P45" s="422">
        <f>ROUNDUP('HSZ do groszy'!P45,0)</f>
        <v>0</v>
      </c>
      <c r="Q45" s="418">
        <f>ROUNDUP('HSZ do groszy'!Q45,0)</f>
        <v>0</v>
      </c>
      <c r="R45" s="419">
        <f>ROUNDUP('HSZ do groszy'!R45,0)</f>
        <v>0</v>
      </c>
      <c r="S45" s="421">
        <f>ROUNDUP('HSZ do groszy'!S45,0)</f>
        <v>0</v>
      </c>
      <c r="T45" s="422">
        <f>ROUNDUP('HSZ do groszy'!T45,0)</f>
        <v>0</v>
      </c>
      <c r="U45" s="418">
        <f>ROUNDUP('HSZ do groszy'!U45,0)</f>
        <v>0</v>
      </c>
      <c r="V45" s="419">
        <f>ROUNDUP('HSZ do groszy'!V45,0)</f>
        <v>0</v>
      </c>
      <c r="W45" s="421">
        <f>ROUNDUP('HSZ do groszy'!W45,0)</f>
        <v>0</v>
      </c>
      <c r="X45" s="422">
        <f>ROUNDUP('HSZ do groszy'!X45,0)</f>
        <v>0</v>
      </c>
      <c r="Y45" s="418">
        <f>ROUNDUP('HSZ do groszy'!Y45,0)</f>
        <v>0</v>
      </c>
      <c r="Z45" s="419">
        <f>ROUNDUP('HSZ do groszy'!Z45,0)</f>
        <v>0</v>
      </c>
      <c r="AA45" s="421">
        <f>ROUNDUP('HSZ do groszy'!AA45,0)</f>
        <v>0</v>
      </c>
      <c r="AB45" s="422">
        <f>ROUNDUP('HSZ do groszy'!AB45,0)</f>
        <v>0</v>
      </c>
      <c r="AC45" s="418">
        <f>ROUNDUP('HSZ do groszy'!AC45,0)</f>
        <v>0</v>
      </c>
      <c r="AD45" s="419">
        <f>ROUNDUP('HSZ do groszy'!AD45,0)</f>
        <v>0</v>
      </c>
      <c r="AE45" s="421">
        <f>ROUNDUP('HSZ do groszy'!AE45,0)</f>
        <v>0</v>
      </c>
      <c r="AF45" s="419">
        <f>ROUNDUP('HSZ do groszy'!AF45,0)</f>
        <v>0</v>
      </c>
      <c r="AG45" s="421">
        <f>ROUNDUP('HSZ do groszy'!AG45,0)</f>
        <v>0</v>
      </c>
      <c r="AH45" s="423">
        <f>ROUNDUP('HSZ do groszy'!AH45,0)</f>
        <v>0</v>
      </c>
      <c r="AI45" s="421">
        <f>ROUNDUP('HSZ do groszy'!AI45,0)</f>
        <v>0</v>
      </c>
      <c r="AJ45" s="423">
        <f>ROUNDUP('HSZ do groszy'!AJ45,0)</f>
        <v>0</v>
      </c>
      <c r="AK45" s="421">
        <f>ROUNDUP('HSZ do groszy'!AK45,0)</f>
        <v>0</v>
      </c>
      <c r="AL45" s="423">
        <f>ROUNDUP('HSZ do groszy'!AL45,0)</f>
        <v>0</v>
      </c>
      <c r="AM45" s="421">
        <f>ROUNDUP('HSZ do groszy'!AM45,0)</f>
        <v>0</v>
      </c>
      <c r="AN45" s="423">
        <f>ROUNDUP('HSZ do groszy'!AN45,0)</f>
        <v>0</v>
      </c>
      <c r="AO45" s="421">
        <f>ROUNDUP('HSZ do groszy'!AO45,0)</f>
        <v>0</v>
      </c>
      <c r="AP45" s="423">
        <f>ROUNDUP('HSZ do groszy'!AP45,0)</f>
        <v>0</v>
      </c>
      <c r="AQ45" s="421">
        <f>ROUNDUP('HSZ do groszy'!AQ45,0)</f>
        <v>0</v>
      </c>
      <c r="AR45" s="423">
        <f>ROUNDUP('HSZ do groszy'!AR45,0)</f>
        <v>0</v>
      </c>
      <c r="AS45" s="193"/>
      <c r="AT45" s="193"/>
      <c r="AU45" s="424"/>
      <c r="AV45" s="425"/>
      <c r="AW45" s="426"/>
      <c r="AX45" s="427"/>
      <c r="AY45" s="419"/>
      <c r="AZ45" s="426"/>
      <c r="BA45" s="427"/>
      <c r="BB45" s="419"/>
      <c r="BC45" s="426"/>
      <c r="BD45" s="427"/>
      <c r="BE45" s="419"/>
      <c r="BF45" s="426"/>
      <c r="BG45" s="427"/>
      <c r="BH45" s="419"/>
      <c r="BI45" s="426"/>
      <c r="BJ45" s="427"/>
      <c r="BK45" s="419"/>
      <c r="BL45" s="426"/>
      <c r="BM45" s="427"/>
      <c r="BN45" s="419"/>
      <c r="BO45" s="426"/>
      <c r="BP45" s="427"/>
      <c r="BQ45" s="419"/>
      <c r="BR45" s="426"/>
      <c r="BS45" s="427"/>
      <c r="BT45" s="419"/>
      <c r="BU45" s="426"/>
      <c r="BV45" s="427"/>
      <c r="BW45" s="419"/>
      <c r="BX45" s="426"/>
      <c r="BY45" s="427"/>
      <c r="BZ45" s="419"/>
      <c r="CA45" s="426"/>
      <c r="CB45" s="427"/>
      <c r="CC45" s="419"/>
      <c r="CD45" s="426"/>
      <c r="CE45" s="427"/>
      <c r="CF45" s="419"/>
      <c r="CG45" s="426"/>
      <c r="CH45" s="427"/>
      <c r="CI45" s="419"/>
      <c r="CJ45" s="426"/>
      <c r="CK45" s="427"/>
      <c r="CL45" s="419"/>
      <c r="CM45" s="426"/>
      <c r="CN45" s="427"/>
      <c r="CO45" s="419"/>
      <c r="CP45" s="426"/>
      <c r="CQ45" s="427"/>
      <c r="CR45" s="419"/>
      <c r="CS45" s="426"/>
      <c r="CT45" s="427"/>
      <c r="CU45" s="419"/>
      <c r="CV45" s="426"/>
      <c r="CW45" s="427"/>
      <c r="CX45" s="419"/>
    </row>
    <row r="46" spans="1:102">
      <c r="A46" s="432" t="str">
        <f>'HSZ do groszy'!A46</f>
        <v>Obligacje 2013</v>
      </c>
      <c r="B46" s="431">
        <f>ROUNDUP('HSZ do groszy'!B46,0)</f>
        <v>11300000</v>
      </c>
      <c r="C46" s="418">
        <f>ROUNDUP('HSZ do groszy'!C46,0)</f>
        <v>0</v>
      </c>
      <c r="D46" s="419">
        <f>ROUNDUP('HSZ do groszy'!D46,0)</f>
        <v>0</v>
      </c>
      <c r="E46" s="584">
        <f>G46+I46+K46+M46+O46+Q46+S46+U46+W46+Y46+AA46+AC46+AE46+AG46</f>
        <v>11300000</v>
      </c>
      <c r="F46" s="420">
        <f>H46+J46+L46+N46+P46+R46+T46+V46+X46+Z46+AB46+AD46+AF46+AH46</f>
        <v>4457973</v>
      </c>
      <c r="G46" s="418">
        <f>ROUNDUP('HSZ do groszy'!G46,0)</f>
        <v>0</v>
      </c>
      <c r="H46" s="419">
        <f>ROUNDUP('HSZ do groszy'!H46,0)</f>
        <v>0</v>
      </c>
      <c r="I46" s="418">
        <f>ROUNDUP('HSZ do groszy'!I46,0)</f>
        <v>0</v>
      </c>
      <c r="J46" s="419">
        <f>ROUNDUP('HSZ do groszy'!J46,0)</f>
        <v>0</v>
      </c>
      <c r="K46" s="421">
        <f>ROUNDUP('HSZ do groszy'!K46,0)</f>
        <v>0</v>
      </c>
      <c r="L46" s="422">
        <f>ROUNDUP('HSZ do groszy'!L46,0)</f>
        <v>535004</v>
      </c>
      <c r="M46" s="418">
        <f>ROUNDUP('HSZ do groszy'!M46,0)</f>
        <v>0</v>
      </c>
      <c r="N46" s="419">
        <f>ROUNDUP('HSZ do groszy'!N46,0)</f>
        <v>535004</v>
      </c>
      <c r="O46" s="421">
        <f>ROUNDUP('HSZ do groszy'!O46,0)</f>
        <v>0</v>
      </c>
      <c r="P46" s="422">
        <f>ROUNDUP('HSZ do groszy'!P46,0)</f>
        <v>535004</v>
      </c>
      <c r="Q46" s="418">
        <f>ROUNDUP('HSZ do groszy'!Q46,0)</f>
        <v>0</v>
      </c>
      <c r="R46" s="419">
        <f>ROUNDUP('HSZ do groszy'!R46,0)</f>
        <v>535004</v>
      </c>
      <c r="S46" s="421">
        <f>ROUNDUP('HSZ do groszy'!S46,0)</f>
        <v>0</v>
      </c>
      <c r="T46" s="422">
        <f>ROUNDUP('HSZ do groszy'!T46,0)</f>
        <v>535004</v>
      </c>
      <c r="U46" s="418">
        <f>ROUNDUP('HSZ do groszy'!U46,0)</f>
        <v>0</v>
      </c>
      <c r="V46" s="419">
        <f>ROUNDUP('HSZ do groszy'!V46,0)</f>
        <v>535004</v>
      </c>
      <c r="W46" s="421">
        <f>ROUNDUP('HSZ do groszy'!W46,0)</f>
        <v>1300000</v>
      </c>
      <c r="X46" s="422">
        <f>ROUNDUP('HSZ do groszy'!X46,0)</f>
        <v>529875</v>
      </c>
      <c r="Y46" s="418">
        <f>ROUNDUP('HSZ do groszy'!Y46,0)</f>
        <v>4000000</v>
      </c>
      <c r="Z46" s="419">
        <f>ROUNDUP('HSZ do groszy'!Z46,0)</f>
        <v>457673</v>
      </c>
      <c r="AA46" s="421">
        <f>ROUNDUP('HSZ do groszy'!AA46,0)</f>
        <v>6000000</v>
      </c>
      <c r="AB46" s="422">
        <f>ROUNDUP('HSZ do groszy'!AB46,0)</f>
        <v>260401</v>
      </c>
      <c r="AC46" s="418">
        <f>ROUNDUP('HSZ do groszy'!AC46,0)</f>
        <v>0</v>
      </c>
      <c r="AD46" s="419">
        <f>ROUNDUP('HSZ do groszy'!AD46,0)</f>
        <v>0</v>
      </c>
      <c r="AE46" s="421">
        <f>ROUNDUP('HSZ do groszy'!AE46,0)</f>
        <v>0</v>
      </c>
      <c r="AF46" s="419">
        <f>ROUNDUP('HSZ do groszy'!AF46,0)</f>
        <v>0</v>
      </c>
      <c r="AG46" s="421">
        <f>ROUNDUP('HSZ do groszy'!AG46,0)</f>
        <v>0</v>
      </c>
      <c r="AH46" s="423">
        <f>ROUNDUP('HSZ do groszy'!AH46,0)</f>
        <v>0</v>
      </c>
      <c r="AI46" s="421">
        <f>ROUNDUP('HSZ do groszy'!AI46,0)</f>
        <v>0</v>
      </c>
      <c r="AJ46" s="423">
        <f>ROUNDUP('HSZ do groszy'!AJ46,0)</f>
        <v>0</v>
      </c>
      <c r="AK46" s="421">
        <f>ROUNDUP('HSZ do groszy'!AK46,0)</f>
        <v>0</v>
      </c>
      <c r="AL46" s="423">
        <f>ROUNDUP('HSZ do groszy'!AL46,0)</f>
        <v>0</v>
      </c>
      <c r="AM46" s="421">
        <f>ROUNDUP('HSZ do groszy'!AM46,0)</f>
        <v>0</v>
      </c>
      <c r="AN46" s="423">
        <f>ROUNDUP('HSZ do groszy'!AN46,0)</f>
        <v>0</v>
      </c>
      <c r="AO46" s="421">
        <f>ROUNDUP('HSZ do groszy'!AO46,0)</f>
        <v>0</v>
      </c>
      <c r="AP46" s="423">
        <f>ROUNDUP('HSZ do groszy'!AP46,0)</f>
        <v>0</v>
      </c>
      <c r="AQ46" s="421">
        <f>ROUNDUP('HSZ do groszy'!AQ46,0)</f>
        <v>0</v>
      </c>
      <c r="AR46" s="423">
        <f>ROUNDUP('HSZ do groszy'!AR46,0)</f>
        <v>0</v>
      </c>
      <c r="AS46" s="193"/>
      <c r="AT46" s="193"/>
      <c r="AU46" s="424" t="str">
        <f t="shared" ref="AU46:AU53" si="120">A46</f>
        <v>Obligacje 2013</v>
      </c>
      <c r="AV46" s="425"/>
      <c r="AW46" s="426"/>
      <c r="AX46" s="427"/>
      <c r="AY46" s="419"/>
      <c r="AZ46" s="426">
        <f>SUM($K46,$M46,$O46,$Q46,$S46,$U46,$W46,$Y46,$AA46,$AC46,$AE46,$AG46)</f>
        <v>11300000</v>
      </c>
      <c r="BA46" s="427">
        <f>SUM($L46,$N46,$P46,$R46,$T46,$V46,$X46,$Z46,$AB46,$AD46,$AF46,$AH46)</f>
        <v>4457973</v>
      </c>
      <c r="BB46" s="419">
        <f>SUM(AZ46,BA46)</f>
        <v>15757973</v>
      </c>
      <c r="BC46" s="426">
        <f>SUM($M46,$O46,$Q46,$S46,$U46,$W46,$Y46,$AA46,$AC46,$AE46,$AG46)</f>
        <v>11300000</v>
      </c>
      <c r="BD46" s="427">
        <f>SUM($N46,$P46,$R46,$T46,$V46,$X46,$Z46,$AB46,$AD46,$AF46,$AH46)</f>
        <v>3922969</v>
      </c>
      <c r="BE46" s="419">
        <f>SUM(BC46,BD46)</f>
        <v>15222969</v>
      </c>
      <c r="BF46" s="426">
        <f t="shared" si="74"/>
        <v>11300000</v>
      </c>
      <c r="BG46" s="427">
        <f t="shared" si="75"/>
        <v>3387965</v>
      </c>
      <c r="BH46" s="419">
        <f>SUM(BF46,BG46)</f>
        <v>14687965</v>
      </c>
      <c r="BI46" s="426">
        <f t="shared" si="76"/>
        <v>11300000</v>
      </c>
      <c r="BJ46" s="427">
        <f t="shared" si="77"/>
        <v>2852961</v>
      </c>
      <c r="BK46" s="419">
        <f>SUM(BI46,BJ46)</f>
        <v>14152961</v>
      </c>
      <c r="BL46" s="426">
        <f t="shared" si="78"/>
        <v>11300000</v>
      </c>
      <c r="BM46" s="427">
        <f t="shared" si="79"/>
        <v>2317957</v>
      </c>
      <c r="BN46" s="419">
        <f t="shared" ref="BN46:BN50" si="121">SUM(BL46,BM46)</f>
        <v>13617957</v>
      </c>
      <c r="BO46" s="426">
        <f t="shared" si="80"/>
        <v>11300000</v>
      </c>
      <c r="BP46" s="427">
        <f t="shared" si="81"/>
        <v>1782953</v>
      </c>
      <c r="BQ46" s="419">
        <f t="shared" ref="BQ46:BQ51" si="122">SUM(BO46,BP46)</f>
        <v>13082953</v>
      </c>
      <c r="BR46" s="426">
        <f t="shared" si="82"/>
        <v>11300000</v>
      </c>
      <c r="BS46" s="427">
        <f t="shared" si="83"/>
        <v>1247949</v>
      </c>
      <c r="BT46" s="419">
        <f t="shared" ref="BT46:BT52" si="123">SUM(BR46,BS46)</f>
        <v>12547949</v>
      </c>
      <c r="BU46" s="426">
        <f t="shared" si="84"/>
        <v>10000000</v>
      </c>
      <c r="BV46" s="427">
        <f t="shared" si="85"/>
        <v>718074</v>
      </c>
      <c r="BW46" s="419">
        <f t="shared" ref="BW46:BW53" si="124">SUM(BU46,BV46)</f>
        <v>10718074</v>
      </c>
      <c r="BX46" s="426">
        <f t="shared" si="86"/>
        <v>6000000</v>
      </c>
      <c r="BY46" s="427">
        <f t="shared" si="87"/>
        <v>260401</v>
      </c>
      <c r="BZ46" s="419">
        <f t="shared" si="88"/>
        <v>6260401</v>
      </c>
      <c r="CA46" s="426">
        <f t="shared" si="89"/>
        <v>0</v>
      </c>
      <c r="CB46" s="427">
        <f t="shared" si="90"/>
        <v>0</v>
      </c>
      <c r="CC46" s="419">
        <f t="shared" si="91"/>
        <v>0</v>
      </c>
      <c r="CD46" s="426">
        <f t="shared" si="92"/>
        <v>0</v>
      </c>
      <c r="CE46" s="427">
        <f t="shared" si="93"/>
        <v>0</v>
      </c>
      <c r="CF46" s="419">
        <f t="shared" si="94"/>
        <v>0</v>
      </c>
      <c r="CG46" s="426">
        <f t="shared" si="95"/>
        <v>0</v>
      </c>
      <c r="CH46" s="427">
        <f t="shared" si="96"/>
        <v>0</v>
      </c>
      <c r="CI46" s="419">
        <f t="shared" si="97"/>
        <v>0</v>
      </c>
      <c r="CJ46" s="426">
        <f t="shared" si="98"/>
        <v>0</v>
      </c>
      <c r="CK46" s="427">
        <f t="shared" si="99"/>
        <v>0</v>
      </c>
      <c r="CL46" s="419">
        <f t="shared" ref="CL46:CL57" si="125">SUM(CJ46,CK46)</f>
        <v>0</v>
      </c>
      <c r="CM46" s="426">
        <f t="shared" si="101"/>
        <v>0</v>
      </c>
      <c r="CN46" s="427">
        <f t="shared" si="102"/>
        <v>0</v>
      </c>
      <c r="CO46" s="419">
        <f t="shared" ref="CO46:CO57" si="126">SUM(CM46,CN46)</f>
        <v>0</v>
      </c>
      <c r="CP46" s="426">
        <f t="shared" si="104"/>
        <v>0</v>
      </c>
      <c r="CQ46" s="427">
        <f t="shared" si="105"/>
        <v>0</v>
      </c>
      <c r="CR46" s="419">
        <f t="shared" ref="CR46:CR57" si="127">SUM(CP46,CQ46)</f>
        <v>0</v>
      </c>
      <c r="CS46" s="426">
        <f t="shared" si="107"/>
        <v>0</v>
      </c>
      <c r="CT46" s="427">
        <f t="shared" si="108"/>
        <v>0</v>
      </c>
      <c r="CU46" s="419">
        <f t="shared" ref="CU46:CU57" si="128">SUM(CS46,CT46)</f>
        <v>0</v>
      </c>
      <c r="CV46" s="426">
        <f t="shared" si="110"/>
        <v>0</v>
      </c>
      <c r="CW46" s="427">
        <f t="shared" si="111"/>
        <v>0</v>
      </c>
      <c r="CX46" s="419">
        <f t="shared" ref="CX46:CX57" si="129">SUM(CV46,CW46)</f>
        <v>0</v>
      </c>
    </row>
    <row r="47" spans="1:102">
      <c r="A47" s="432" t="str">
        <f>'HSZ do groszy'!A47</f>
        <v>Obligacje 2014</v>
      </c>
      <c r="B47" s="431">
        <f>ROUNDUP('HSZ do groszy'!B47,0)</f>
        <v>0</v>
      </c>
      <c r="C47" s="418">
        <f>ROUNDUP('HSZ do groszy'!C47,0)</f>
        <v>0</v>
      </c>
      <c r="D47" s="419">
        <f>ROUNDUP('HSZ do groszy'!D47,0)</f>
        <v>0</v>
      </c>
      <c r="E47" s="584">
        <f t="shared" si="71"/>
        <v>0</v>
      </c>
      <c r="F47" s="420">
        <f t="shared" ref="F47:F57" si="130">H47+J47+L47+N47+P47+R47+T47+V47+X47+Z47+AB47+AD47+AF47+AH47</f>
        <v>0</v>
      </c>
      <c r="G47" s="418">
        <f>ROUNDUP('HSZ do groszy'!G47,0)</f>
        <v>0</v>
      </c>
      <c r="H47" s="419">
        <f>ROUNDUP('HSZ do groszy'!H47,0)</f>
        <v>0</v>
      </c>
      <c r="I47" s="418">
        <f>ROUNDUP('HSZ do groszy'!I47,0)</f>
        <v>0</v>
      </c>
      <c r="J47" s="419">
        <f>ROUNDUP('HSZ do groszy'!J47,0)</f>
        <v>0</v>
      </c>
      <c r="K47" s="421">
        <f>ROUNDUP('HSZ do groszy'!K47,0)</f>
        <v>0</v>
      </c>
      <c r="L47" s="422">
        <f>ROUNDUP('HSZ do groszy'!L47,0)</f>
        <v>0</v>
      </c>
      <c r="M47" s="418">
        <f>ROUNDUP('HSZ do groszy'!M47,0)</f>
        <v>0</v>
      </c>
      <c r="N47" s="419">
        <f>ROUNDUP('HSZ do groszy'!N47,0)</f>
        <v>0</v>
      </c>
      <c r="O47" s="421">
        <f>ROUNDUP('HSZ do groszy'!O47,0)</f>
        <v>0</v>
      </c>
      <c r="P47" s="422">
        <f>ROUNDUP('HSZ do groszy'!P47,0)</f>
        <v>0</v>
      </c>
      <c r="Q47" s="418">
        <f>ROUNDUP('HSZ do groszy'!Q47,0)</f>
        <v>0</v>
      </c>
      <c r="R47" s="419">
        <f>ROUNDUP('HSZ do groszy'!R47,0)</f>
        <v>0</v>
      </c>
      <c r="S47" s="421">
        <f>ROUNDUP('HSZ do groszy'!S47,0)</f>
        <v>0</v>
      </c>
      <c r="T47" s="422">
        <f>ROUNDUP('HSZ do groszy'!T47,0)</f>
        <v>0</v>
      </c>
      <c r="U47" s="418">
        <f>ROUNDUP('HSZ do groszy'!U47,0)</f>
        <v>0</v>
      </c>
      <c r="V47" s="419">
        <f>ROUNDUP('HSZ do groszy'!V47,0)</f>
        <v>0</v>
      </c>
      <c r="W47" s="421">
        <f>ROUNDUP('HSZ do groszy'!W47,0)</f>
        <v>0</v>
      </c>
      <c r="X47" s="422">
        <f>ROUNDUP('HSZ do groszy'!X47,0)</f>
        <v>0</v>
      </c>
      <c r="Y47" s="418">
        <f>ROUNDUP('HSZ do groszy'!Y47,0)</f>
        <v>0</v>
      </c>
      <c r="Z47" s="419">
        <f>ROUNDUP('HSZ do groszy'!Z47,0)</f>
        <v>0</v>
      </c>
      <c r="AA47" s="421">
        <f>ROUNDUP('HSZ do groszy'!AA47,0)</f>
        <v>0</v>
      </c>
      <c r="AB47" s="422">
        <f>ROUNDUP('HSZ do groszy'!AB47,0)</f>
        <v>0</v>
      </c>
      <c r="AC47" s="418">
        <f>ROUNDUP('HSZ do groszy'!AC47,0)</f>
        <v>0</v>
      </c>
      <c r="AD47" s="419">
        <f>ROUNDUP('HSZ do groszy'!AD47,0)</f>
        <v>0</v>
      </c>
      <c r="AE47" s="421">
        <f>ROUNDUP('HSZ do groszy'!AE47,0)</f>
        <v>0</v>
      </c>
      <c r="AF47" s="419">
        <f>ROUNDUP('HSZ do groszy'!AF47,0)</f>
        <v>0</v>
      </c>
      <c r="AG47" s="421">
        <f>ROUNDUP('HSZ do groszy'!AG47,0)</f>
        <v>0</v>
      </c>
      <c r="AH47" s="423">
        <f>ROUNDUP('HSZ do groszy'!AH47,0)</f>
        <v>0</v>
      </c>
      <c r="AI47" s="421">
        <f>ROUNDUP('HSZ do groszy'!AI47,0)</f>
        <v>0</v>
      </c>
      <c r="AJ47" s="423">
        <f>ROUNDUP('HSZ do groszy'!AJ47,0)</f>
        <v>0</v>
      </c>
      <c r="AK47" s="421">
        <f>ROUNDUP('HSZ do groszy'!AK47,0)</f>
        <v>0</v>
      </c>
      <c r="AL47" s="423">
        <f>ROUNDUP('HSZ do groszy'!AL47,0)</f>
        <v>0</v>
      </c>
      <c r="AM47" s="421">
        <f>ROUNDUP('HSZ do groszy'!AM47,0)</f>
        <v>0</v>
      </c>
      <c r="AN47" s="423">
        <f>ROUNDUP('HSZ do groszy'!AN47,0)</f>
        <v>0</v>
      </c>
      <c r="AO47" s="421">
        <f>ROUNDUP('HSZ do groszy'!AO47,0)</f>
        <v>0</v>
      </c>
      <c r="AP47" s="423">
        <f>ROUNDUP('HSZ do groszy'!AP47,0)</f>
        <v>0</v>
      </c>
      <c r="AQ47" s="421">
        <f>ROUNDUP('HSZ do groszy'!AQ47,0)</f>
        <v>0</v>
      </c>
      <c r="AR47" s="423">
        <f>ROUNDUP('HSZ do groszy'!AR47,0)</f>
        <v>0</v>
      </c>
      <c r="AS47" s="193"/>
      <c r="AT47" s="193"/>
      <c r="AU47" s="424" t="str">
        <f t="shared" si="120"/>
        <v>Obligacje 2014</v>
      </c>
      <c r="AV47" s="425"/>
      <c r="AW47" s="426"/>
      <c r="AX47" s="427"/>
      <c r="AY47" s="419"/>
      <c r="AZ47" s="426"/>
      <c r="BA47" s="427"/>
      <c r="BB47" s="419"/>
      <c r="BC47" s="426">
        <f>SUM($M47,$O47,$Q47,$S47,$U47,$W47,$Y47,$AA47,$AC47,$AE47,$AG47)</f>
        <v>0</v>
      </c>
      <c r="BD47" s="427">
        <f>SUM($N47,$P47,$R47,$T47,$V47,$X47,$Z47,$AB47,$AD47,$AF47,$AH47)</f>
        <v>0</v>
      </c>
      <c r="BE47" s="419">
        <f>SUM(BC47,BD47)</f>
        <v>0</v>
      </c>
      <c r="BF47" s="426">
        <f t="shared" si="74"/>
        <v>0</v>
      </c>
      <c r="BG47" s="427">
        <f t="shared" si="75"/>
        <v>0</v>
      </c>
      <c r="BH47" s="419">
        <f>SUM(BF47,BG47)</f>
        <v>0</v>
      </c>
      <c r="BI47" s="426">
        <f t="shared" si="76"/>
        <v>0</v>
      </c>
      <c r="BJ47" s="427">
        <f t="shared" si="77"/>
        <v>0</v>
      </c>
      <c r="BK47" s="419">
        <f>SUM(BI47,BJ47)</f>
        <v>0</v>
      </c>
      <c r="BL47" s="426">
        <f t="shared" si="78"/>
        <v>0</v>
      </c>
      <c r="BM47" s="427">
        <f t="shared" si="79"/>
        <v>0</v>
      </c>
      <c r="BN47" s="419">
        <f t="shared" si="121"/>
        <v>0</v>
      </c>
      <c r="BO47" s="426">
        <f t="shared" si="80"/>
        <v>0</v>
      </c>
      <c r="BP47" s="427">
        <f t="shared" si="81"/>
        <v>0</v>
      </c>
      <c r="BQ47" s="419">
        <f t="shared" si="122"/>
        <v>0</v>
      </c>
      <c r="BR47" s="426">
        <f t="shared" si="82"/>
        <v>0</v>
      </c>
      <c r="BS47" s="427">
        <f t="shared" si="83"/>
        <v>0</v>
      </c>
      <c r="BT47" s="419">
        <f t="shared" si="123"/>
        <v>0</v>
      </c>
      <c r="BU47" s="426">
        <f t="shared" si="84"/>
        <v>0</v>
      </c>
      <c r="BV47" s="427">
        <f t="shared" si="85"/>
        <v>0</v>
      </c>
      <c r="BW47" s="419">
        <f t="shared" si="124"/>
        <v>0</v>
      </c>
      <c r="BX47" s="426">
        <f t="shared" si="86"/>
        <v>0</v>
      </c>
      <c r="BY47" s="427">
        <f t="shared" si="87"/>
        <v>0</v>
      </c>
      <c r="BZ47" s="419">
        <f t="shared" si="88"/>
        <v>0</v>
      </c>
      <c r="CA47" s="426">
        <f t="shared" si="89"/>
        <v>0</v>
      </c>
      <c r="CB47" s="427">
        <f t="shared" si="90"/>
        <v>0</v>
      </c>
      <c r="CC47" s="419">
        <f t="shared" si="91"/>
        <v>0</v>
      </c>
      <c r="CD47" s="426">
        <f t="shared" si="92"/>
        <v>0</v>
      </c>
      <c r="CE47" s="427">
        <f t="shared" si="93"/>
        <v>0</v>
      </c>
      <c r="CF47" s="419">
        <f t="shared" si="94"/>
        <v>0</v>
      </c>
      <c r="CG47" s="426">
        <f t="shared" si="95"/>
        <v>0</v>
      </c>
      <c r="CH47" s="427">
        <f t="shared" si="96"/>
        <v>0</v>
      </c>
      <c r="CI47" s="419">
        <f t="shared" si="97"/>
        <v>0</v>
      </c>
      <c r="CJ47" s="426">
        <f t="shared" si="98"/>
        <v>0</v>
      </c>
      <c r="CK47" s="427">
        <f t="shared" si="99"/>
        <v>0</v>
      </c>
      <c r="CL47" s="419">
        <f t="shared" si="125"/>
        <v>0</v>
      </c>
      <c r="CM47" s="426">
        <f t="shared" si="101"/>
        <v>0</v>
      </c>
      <c r="CN47" s="427">
        <f t="shared" si="102"/>
        <v>0</v>
      </c>
      <c r="CO47" s="419">
        <f t="shared" si="126"/>
        <v>0</v>
      </c>
      <c r="CP47" s="426">
        <f t="shared" si="104"/>
        <v>0</v>
      </c>
      <c r="CQ47" s="427">
        <f t="shared" si="105"/>
        <v>0</v>
      </c>
      <c r="CR47" s="419">
        <f t="shared" si="127"/>
        <v>0</v>
      </c>
      <c r="CS47" s="426">
        <f t="shared" si="107"/>
        <v>0</v>
      </c>
      <c r="CT47" s="427">
        <f t="shared" si="108"/>
        <v>0</v>
      </c>
      <c r="CU47" s="419">
        <f t="shared" si="128"/>
        <v>0</v>
      </c>
      <c r="CV47" s="426">
        <f t="shared" si="110"/>
        <v>0</v>
      </c>
      <c r="CW47" s="427">
        <f t="shared" si="111"/>
        <v>0</v>
      </c>
      <c r="CX47" s="419">
        <f t="shared" si="129"/>
        <v>0</v>
      </c>
    </row>
    <row r="48" spans="1:102">
      <c r="A48" s="432" t="str">
        <f>'HSZ do groszy'!A48</f>
        <v>Obligacje 2015</v>
      </c>
      <c r="B48" s="431">
        <f>ROUNDUP('HSZ do groszy'!B48,0)</f>
        <v>0</v>
      </c>
      <c r="C48" s="418">
        <f>ROUNDUP('HSZ do groszy'!C48,0)</f>
        <v>0</v>
      </c>
      <c r="D48" s="419">
        <f>ROUNDUP('HSZ do groszy'!D48,0)</f>
        <v>0</v>
      </c>
      <c r="E48" s="584">
        <f t="shared" si="71"/>
        <v>0</v>
      </c>
      <c r="F48" s="420">
        <f t="shared" si="130"/>
        <v>0</v>
      </c>
      <c r="G48" s="418">
        <f>ROUNDUP('HSZ do groszy'!G48,0)</f>
        <v>0</v>
      </c>
      <c r="H48" s="419">
        <f>ROUNDUP('HSZ do groszy'!H48,0)</f>
        <v>0</v>
      </c>
      <c r="I48" s="418">
        <f>ROUNDUP('HSZ do groszy'!I48,0)</f>
        <v>0</v>
      </c>
      <c r="J48" s="419">
        <f>ROUNDUP('HSZ do groszy'!J48,0)</f>
        <v>0</v>
      </c>
      <c r="K48" s="421">
        <f>ROUNDUP('HSZ do groszy'!K48,0)</f>
        <v>0</v>
      </c>
      <c r="L48" s="422">
        <f>ROUNDUP('HSZ do groszy'!L48,0)</f>
        <v>0</v>
      </c>
      <c r="M48" s="418">
        <f>ROUNDUP('HSZ do groszy'!M48,0)</f>
        <v>0</v>
      </c>
      <c r="N48" s="419">
        <f>ROUNDUP('HSZ do groszy'!N48,0)</f>
        <v>0</v>
      </c>
      <c r="O48" s="421">
        <f>ROUNDUP('HSZ do groszy'!O48,0)</f>
        <v>0</v>
      </c>
      <c r="P48" s="422">
        <f>ROUNDUP('HSZ do groszy'!P48,0)</f>
        <v>0</v>
      </c>
      <c r="Q48" s="418">
        <f>ROUNDUP('HSZ do groszy'!Q48,0)</f>
        <v>0</v>
      </c>
      <c r="R48" s="419">
        <f>ROUNDUP('HSZ do groszy'!R48,0)</f>
        <v>0</v>
      </c>
      <c r="S48" s="421">
        <f>ROUNDUP('HSZ do groszy'!S48,0)</f>
        <v>0</v>
      </c>
      <c r="T48" s="422">
        <f>ROUNDUP('HSZ do groszy'!T48,0)</f>
        <v>0</v>
      </c>
      <c r="U48" s="418">
        <f>ROUNDUP('HSZ do groszy'!U48,0)</f>
        <v>0</v>
      </c>
      <c r="V48" s="419">
        <f>ROUNDUP('HSZ do groszy'!V48,0)</f>
        <v>0</v>
      </c>
      <c r="W48" s="421">
        <f>ROUNDUP('HSZ do groszy'!W48,0)</f>
        <v>0</v>
      </c>
      <c r="X48" s="422">
        <f>ROUNDUP('HSZ do groszy'!X48,0)</f>
        <v>0</v>
      </c>
      <c r="Y48" s="418">
        <f>ROUNDUP('HSZ do groszy'!Y48,0)</f>
        <v>0</v>
      </c>
      <c r="Z48" s="419">
        <f>ROUNDUP('HSZ do groszy'!Z48,0)</f>
        <v>0</v>
      </c>
      <c r="AA48" s="421">
        <f>ROUNDUP('HSZ do groszy'!AA48,0)</f>
        <v>0</v>
      </c>
      <c r="AB48" s="422">
        <f>ROUNDUP('HSZ do groszy'!AB48,0)</f>
        <v>0</v>
      </c>
      <c r="AC48" s="418">
        <f>ROUNDUP('HSZ do groszy'!AC48,0)</f>
        <v>0</v>
      </c>
      <c r="AD48" s="419">
        <f>ROUNDUP('HSZ do groszy'!AD48,0)</f>
        <v>0</v>
      </c>
      <c r="AE48" s="421">
        <f>ROUNDUP('HSZ do groszy'!AE48,0)</f>
        <v>0</v>
      </c>
      <c r="AF48" s="419">
        <f>ROUNDUP('HSZ do groszy'!AF48,0)</f>
        <v>0</v>
      </c>
      <c r="AG48" s="421">
        <f>ROUNDUP('HSZ do groszy'!AG48,0)</f>
        <v>0</v>
      </c>
      <c r="AH48" s="423">
        <f>ROUNDUP('HSZ do groszy'!AH48,0)</f>
        <v>0</v>
      </c>
      <c r="AI48" s="421">
        <f>ROUNDUP('HSZ do groszy'!AI48,0)</f>
        <v>0</v>
      </c>
      <c r="AJ48" s="423">
        <f>ROUNDUP('HSZ do groszy'!AJ48,0)</f>
        <v>0</v>
      </c>
      <c r="AK48" s="421">
        <f>ROUNDUP('HSZ do groszy'!AK48,0)</f>
        <v>0</v>
      </c>
      <c r="AL48" s="423">
        <f>ROUNDUP('HSZ do groszy'!AL48,0)</f>
        <v>0</v>
      </c>
      <c r="AM48" s="421">
        <f>ROUNDUP('HSZ do groszy'!AM48,0)</f>
        <v>0</v>
      </c>
      <c r="AN48" s="423">
        <f>ROUNDUP('HSZ do groszy'!AN48,0)</f>
        <v>0</v>
      </c>
      <c r="AO48" s="421">
        <f>ROUNDUP('HSZ do groszy'!AO48,0)</f>
        <v>0</v>
      </c>
      <c r="AP48" s="423">
        <f>ROUNDUP('HSZ do groszy'!AP48,0)</f>
        <v>0</v>
      </c>
      <c r="AQ48" s="421">
        <f>ROUNDUP('HSZ do groszy'!AQ48,0)</f>
        <v>0</v>
      </c>
      <c r="AR48" s="423">
        <f>ROUNDUP('HSZ do groszy'!AR48,0)</f>
        <v>0</v>
      </c>
      <c r="AS48" s="193"/>
      <c r="AT48" s="193"/>
      <c r="AU48" s="424" t="str">
        <f t="shared" si="120"/>
        <v>Obligacje 2015</v>
      </c>
      <c r="AV48" s="425"/>
      <c r="AW48" s="426"/>
      <c r="AX48" s="427"/>
      <c r="AY48" s="419"/>
      <c r="AZ48" s="426"/>
      <c r="BA48" s="427"/>
      <c r="BB48" s="419"/>
      <c r="BC48" s="426"/>
      <c r="BD48" s="427"/>
      <c r="BE48" s="419"/>
      <c r="BF48" s="426">
        <f t="shared" si="74"/>
        <v>0</v>
      </c>
      <c r="BG48" s="427">
        <f t="shared" si="75"/>
        <v>0</v>
      </c>
      <c r="BH48" s="419">
        <f>SUM(BF48,BG48)</f>
        <v>0</v>
      </c>
      <c r="BI48" s="426">
        <f t="shared" si="76"/>
        <v>0</v>
      </c>
      <c r="BJ48" s="427">
        <f t="shared" si="77"/>
        <v>0</v>
      </c>
      <c r="BK48" s="419">
        <f>SUM(BI48,BJ48)</f>
        <v>0</v>
      </c>
      <c r="BL48" s="426">
        <f t="shared" si="78"/>
        <v>0</v>
      </c>
      <c r="BM48" s="427">
        <f t="shared" si="79"/>
        <v>0</v>
      </c>
      <c r="BN48" s="419">
        <f t="shared" si="121"/>
        <v>0</v>
      </c>
      <c r="BO48" s="426">
        <f t="shared" si="80"/>
        <v>0</v>
      </c>
      <c r="BP48" s="427">
        <f t="shared" si="81"/>
        <v>0</v>
      </c>
      <c r="BQ48" s="419">
        <f t="shared" si="122"/>
        <v>0</v>
      </c>
      <c r="BR48" s="426">
        <f t="shared" si="82"/>
        <v>0</v>
      </c>
      <c r="BS48" s="427">
        <f t="shared" si="83"/>
        <v>0</v>
      </c>
      <c r="BT48" s="419">
        <f t="shared" si="123"/>
        <v>0</v>
      </c>
      <c r="BU48" s="426">
        <f t="shared" si="84"/>
        <v>0</v>
      </c>
      <c r="BV48" s="427">
        <f t="shared" si="85"/>
        <v>0</v>
      </c>
      <c r="BW48" s="419">
        <f t="shared" si="124"/>
        <v>0</v>
      </c>
      <c r="BX48" s="426">
        <f t="shared" si="86"/>
        <v>0</v>
      </c>
      <c r="BY48" s="427">
        <f t="shared" si="87"/>
        <v>0</v>
      </c>
      <c r="BZ48" s="419">
        <f t="shared" si="88"/>
        <v>0</v>
      </c>
      <c r="CA48" s="426">
        <f t="shared" si="89"/>
        <v>0</v>
      </c>
      <c r="CB48" s="427">
        <f t="shared" si="90"/>
        <v>0</v>
      </c>
      <c r="CC48" s="419">
        <f t="shared" si="91"/>
        <v>0</v>
      </c>
      <c r="CD48" s="426">
        <f t="shared" si="92"/>
        <v>0</v>
      </c>
      <c r="CE48" s="427">
        <f t="shared" si="93"/>
        <v>0</v>
      </c>
      <c r="CF48" s="419">
        <f t="shared" si="94"/>
        <v>0</v>
      </c>
      <c r="CG48" s="426">
        <f t="shared" si="95"/>
        <v>0</v>
      </c>
      <c r="CH48" s="427">
        <f t="shared" si="96"/>
        <v>0</v>
      </c>
      <c r="CI48" s="419">
        <f t="shared" si="97"/>
        <v>0</v>
      </c>
      <c r="CJ48" s="426">
        <f t="shared" si="98"/>
        <v>0</v>
      </c>
      <c r="CK48" s="427">
        <f t="shared" si="99"/>
        <v>0</v>
      </c>
      <c r="CL48" s="419">
        <f t="shared" si="125"/>
        <v>0</v>
      </c>
      <c r="CM48" s="426">
        <f t="shared" si="101"/>
        <v>0</v>
      </c>
      <c r="CN48" s="427">
        <f t="shared" si="102"/>
        <v>0</v>
      </c>
      <c r="CO48" s="419">
        <f t="shared" si="126"/>
        <v>0</v>
      </c>
      <c r="CP48" s="426">
        <f t="shared" si="104"/>
        <v>0</v>
      </c>
      <c r="CQ48" s="427">
        <f t="shared" si="105"/>
        <v>0</v>
      </c>
      <c r="CR48" s="419">
        <f t="shared" si="127"/>
        <v>0</v>
      </c>
      <c r="CS48" s="426">
        <f t="shared" si="107"/>
        <v>0</v>
      </c>
      <c r="CT48" s="427">
        <f t="shared" si="108"/>
        <v>0</v>
      </c>
      <c r="CU48" s="419">
        <f t="shared" si="128"/>
        <v>0</v>
      </c>
      <c r="CV48" s="426">
        <f t="shared" si="110"/>
        <v>0</v>
      </c>
      <c r="CW48" s="427">
        <f t="shared" si="111"/>
        <v>0</v>
      </c>
      <c r="CX48" s="419">
        <f t="shared" si="129"/>
        <v>0</v>
      </c>
    </row>
    <row r="49" spans="1:102">
      <c r="A49" s="432" t="str">
        <f>'HSZ do groszy'!A49</f>
        <v>Obligacje 2016</v>
      </c>
      <c r="B49" s="431">
        <f>ROUNDUP('HSZ do groszy'!B49,0)</f>
        <v>0</v>
      </c>
      <c r="C49" s="418">
        <f>ROUNDUP('HSZ do groszy'!C49,0)</f>
        <v>0</v>
      </c>
      <c r="D49" s="419">
        <f>ROUNDUP('HSZ do groszy'!D49,0)</f>
        <v>0</v>
      </c>
      <c r="E49" s="584">
        <f t="shared" si="71"/>
        <v>0</v>
      </c>
      <c r="F49" s="420">
        <f t="shared" si="130"/>
        <v>0</v>
      </c>
      <c r="G49" s="418">
        <f>ROUNDUP('HSZ do groszy'!G49,0)</f>
        <v>0</v>
      </c>
      <c r="H49" s="419">
        <f>ROUNDUP('HSZ do groszy'!H49,0)</f>
        <v>0</v>
      </c>
      <c r="I49" s="418">
        <f>ROUNDUP('HSZ do groszy'!I49,0)</f>
        <v>0</v>
      </c>
      <c r="J49" s="419">
        <f>ROUNDUP('HSZ do groszy'!J49,0)</f>
        <v>0</v>
      </c>
      <c r="K49" s="421">
        <f>ROUNDUP('HSZ do groszy'!K49,0)</f>
        <v>0</v>
      </c>
      <c r="L49" s="422">
        <f>ROUNDUP('HSZ do groszy'!L49,0)</f>
        <v>0</v>
      </c>
      <c r="M49" s="418">
        <f>ROUNDUP('HSZ do groszy'!M49,0)</f>
        <v>0</v>
      </c>
      <c r="N49" s="419">
        <f>ROUNDUP('HSZ do groszy'!N49,0)</f>
        <v>0</v>
      </c>
      <c r="O49" s="421">
        <f>ROUNDUP('HSZ do groszy'!O49,0)</f>
        <v>0</v>
      </c>
      <c r="P49" s="422">
        <f>ROUNDUP('HSZ do groszy'!P49,0)</f>
        <v>0</v>
      </c>
      <c r="Q49" s="418">
        <f>ROUNDUP('HSZ do groszy'!Q49,0)</f>
        <v>0</v>
      </c>
      <c r="R49" s="419">
        <f>ROUNDUP('HSZ do groszy'!R49,0)</f>
        <v>0</v>
      </c>
      <c r="S49" s="421">
        <f>ROUNDUP('HSZ do groszy'!S49,0)</f>
        <v>0</v>
      </c>
      <c r="T49" s="422">
        <f>ROUNDUP('HSZ do groszy'!T49,0)</f>
        <v>0</v>
      </c>
      <c r="U49" s="418">
        <f>ROUNDUP('HSZ do groszy'!U49,0)</f>
        <v>0</v>
      </c>
      <c r="V49" s="419">
        <f>ROUNDUP('HSZ do groszy'!V49,0)</f>
        <v>0</v>
      </c>
      <c r="W49" s="421">
        <f>ROUNDUP('HSZ do groszy'!W49,0)</f>
        <v>0</v>
      </c>
      <c r="X49" s="422">
        <f>ROUNDUP('HSZ do groszy'!X49,0)</f>
        <v>0</v>
      </c>
      <c r="Y49" s="418">
        <f>ROUNDUP('HSZ do groszy'!Y49,0)</f>
        <v>0</v>
      </c>
      <c r="Z49" s="419">
        <f>ROUNDUP('HSZ do groszy'!Z49,0)</f>
        <v>0</v>
      </c>
      <c r="AA49" s="421">
        <f>ROUNDUP('HSZ do groszy'!AA49,0)</f>
        <v>0</v>
      </c>
      <c r="AB49" s="422">
        <f>ROUNDUP('HSZ do groszy'!AB49,0)</f>
        <v>0</v>
      </c>
      <c r="AC49" s="418">
        <f>ROUNDUP('HSZ do groszy'!AC49,0)</f>
        <v>0</v>
      </c>
      <c r="AD49" s="419">
        <f>ROUNDUP('HSZ do groszy'!AD49,0)</f>
        <v>0</v>
      </c>
      <c r="AE49" s="421">
        <f>ROUNDUP('HSZ do groszy'!AE49,0)</f>
        <v>0</v>
      </c>
      <c r="AF49" s="419">
        <f>ROUNDUP('HSZ do groszy'!AF49,0)</f>
        <v>0</v>
      </c>
      <c r="AG49" s="421">
        <f>ROUNDUP('HSZ do groszy'!AG49,0)</f>
        <v>0</v>
      </c>
      <c r="AH49" s="423">
        <f>ROUNDUP('HSZ do groszy'!AH49,0)</f>
        <v>0</v>
      </c>
      <c r="AI49" s="421">
        <f>ROUNDUP('HSZ do groszy'!AI49,0)</f>
        <v>0</v>
      </c>
      <c r="AJ49" s="423">
        <f>ROUNDUP('HSZ do groszy'!AJ49,0)</f>
        <v>0</v>
      </c>
      <c r="AK49" s="421">
        <f>ROUNDUP('HSZ do groszy'!AK49,0)</f>
        <v>0</v>
      </c>
      <c r="AL49" s="423">
        <f>ROUNDUP('HSZ do groszy'!AL49,0)</f>
        <v>0</v>
      </c>
      <c r="AM49" s="421">
        <f>ROUNDUP('HSZ do groszy'!AM49,0)</f>
        <v>0</v>
      </c>
      <c r="AN49" s="423">
        <f>ROUNDUP('HSZ do groszy'!AN49,0)</f>
        <v>0</v>
      </c>
      <c r="AO49" s="421">
        <f>ROUNDUP('HSZ do groszy'!AO49,0)</f>
        <v>0</v>
      </c>
      <c r="AP49" s="423">
        <f>ROUNDUP('HSZ do groszy'!AP49,0)</f>
        <v>0</v>
      </c>
      <c r="AQ49" s="421">
        <f>ROUNDUP('HSZ do groszy'!AQ49,0)</f>
        <v>0</v>
      </c>
      <c r="AR49" s="423">
        <f>ROUNDUP('HSZ do groszy'!AR49,0)</f>
        <v>0</v>
      </c>
      <c r="AS49" s="193"/>
      <c r="AT49" s="193"/>
      <c r="AU49" s="424" t="str">
        <f t="shared" si="120"/>
        <v>Obligacje 2016</v>
      </c>
      <c r="AV49" s="425"/>
      <c r="AW49" s="426"/>
      <c r="AX49" s="427"/>
      <c r="AY49" s="419"/>
      <c r="AZ49" s="426"/>
      <c r="BA49" s="427"/>
      <c r="BB49" s="419"/>
      <c r="BC49" s="426"/>
      <c r="BD49" s="427"/>
      <c r="BE49" s="419"/>
      <c r="BF49" s="426"/>
      <c r="BG49" s="427"/>
      <c r="BH49" s="419"/>
      <c r="BI49" s="426">
        <f t="shared" si="76"/>
        <v>0</v>
      </c>
      <c r="BJ49" s="427">
        <f t="shared" si="77"/>
        <v>0</v>
      </c>
      <c r="BK49" s="419">
        <f>SUM(BI49,BJ49)</f>
        <v>0</v>
      </c>
      <c r="BL49" s="426">
        <f t="shared" si="78"/>
        <v>0</v>
      </c>
      <c r="BM49" s="427">
        <f t="shared" si="79"/>
        <v>0</v>
      </c>
      <c r="BN49" s="419">
        <f t="shared" si="121"/>
        <v>0</v>
      </c>
      <c r="BO49" s="426">
        <f t="shared" si="80"/>
        <v>0</v>
      </c>
      <c r="BP49" s="427">
        <f t="shared" si="81"/>
        <v>0</v>
      </c>
      <c r="BQ49" s="419">
        <f t="shared" si="122"/>
        <v>0</v>
      </c>
      <c r="BR49" s="426">
        <f t="shared" si="82"/>
        <v>0</v>
      </c>
      <c r="BS49" s="427">
        <f t="shared" si="83"/>
        <v>0</v>
      </c>
      <c r="BT49" s="419">
        <f t="shared" si="123"/>
        <v>0</v>
      </c>
      <c r="BU49" s="426">
        <f t="shared" si="84"/>
        <v>0</v>
      </c>
      <c r="BV49" s="427">
        <f t="shared" si="85"/>
        <v>0</v>
      </c>
      <c r="BW49" s="419">
        <f t="shared" si="124"/>
        <v>0</v>
      </c>
      <c r="BX49" s="426">
        <f t="shared" si="86"/>
        <v>0</v>
      </c>
      <c r="BY49" s="427">
        <f t="shared" si="87"/>
        <v>0</v>
      </c>
      <c r="BZ49" s="419">
        <f t="shared" si="88"/>
        <v>0</v>
      </c>
      <c r="CA49" s="426">
        <f t="shared" si="89"/>
        <v>0</v>
      </c>
      <c r="CB49" s="427">
        <f t="shared" si="90"/>
        <v>0</v>
      </c>
      <c r="CC49" s="419">
        <f t="shared" si="91"/>
        <v>0</v>
      </c>
      <c r="CD49" s="426">
        <f t="shared" si="92"/>
        <v>0</v>
      </c>
      <c r="CE49" s="427">
        <f t="shared" si="93"/>
        <v>0</v>
      </c>
      <c r="CF49" s="419">
        <f t="shared" si="94"/>
        <v>0</v>
      </c>
      <c r="CG49" s="426">
        <f t="shared" si="95"/>
        <v>0</v>
      </c>
      <c r="CH49" s="427">
        <f t="shared" si="96"/>
        <v>0</v>
      </c>
      <c r="CI49" s="419">
        <f t="shared" si="97"/>
        <v>0</v>
      </c>
      <c r="CJ49" s="426">
        <f t="shared" si="98"/>
        <v>0</v>
      </c>
      <c r="CK49" s="427">
        <f t="shared" si="99"/>
        <v>0</v>
      </c>
      <c r="CL49" s="419">
        <f t="shared" si="125"/>
        <v>0</v>
      </c>
      <c r="CM49" s="426">
        <f t="shared" si="101"/>
        <v>0</v>
      </c>
      <c r="CN49" s="427">
        <f t="shared" si="102"/>
        <v>0</v>
      </c>
      <c r="CO49" s="419">
        <f t="shared" si="126"/>
        <v>0</v>
      </c>
      <c r="CP49" s="426">
        <f t="shared" si="104"/>
        <v>0</v>
      </c>
      <c r="CQ49" s="427">
        <f t="shared" si="105"/>
        <v>0</v>
      </c>
      <c r="CR49" s="419">
        <f t="shared" si="127"/>
        <v>0</v>
      </c>
      <c r="CS49" s="426">
        <f t="shared" si="107"/>
        <v>0</v>
      </c>
      <c r="CT49" s="427">
        <f t="shared" si="108"/>
        <v>0</v>
      </c>
      <c r="CU49" s="419">
        <f t="shared" si="128"/>
        <v>0</v>
      </c>
      <c r="CV49" s="426">
        <f t="shared" si="110"/>
        <v>0</v>
      </c>
      <c r="CW49" s="427">
        <f t="shared" si="111"/>
        <v>0</v>
      </c>
      <c r="CX49" s="419">
        <f t="shared" si="129"/>
        <v>0</v>
      </c>
    </row>
    <row r="50" spans="1:102">
      <c r="A50" s="432" t="str">
        <f>'HSZ do groszy'!A50</f>
        <v>Obligacje 2017</v>
      </c>
      <c r="B50" s="431">
        <f>ROUNDUP('HSZ do groszy'!B50,0)</f>
        <v>243402</v>
      </c>
      <c r="C50" s="418">
        <f>ROUNDUP('HSZ do groszy'!C50,0)</f>
        <v>0</v>
      </c>
      <c r="D50" s="419">
        <f>ROUNDUP('HSZ do groszy'!D50,0)</f>
        <v>0</v>
      </c>
      <c r="E50" s="584">
        <f t="shared" si="71"/>
        <v>243402</v>
      </c>
      <c r="F50" s="420">
        <f t="shared" si="130"/>
        <v>45136</v>
      </c>
      <c r="G50" s="418">
        <f>ROUNDUP('HSZ do groszy'!G50,0)</f>
        <v>0</v>
      </c>
      <c r="H50" s="419">
        <f>ROUNDUP('HSZ do groszy'!H50,0)</f>
        <v>0</v>
      </c>
      <c r="I50" s="418">
        <f>ROUNDUP('HSZ do groszy'!I50,0)</f>
        <v>0</v>
      </c>
      <c r="J50" s="419">
        <f>ROUNDUP('HSZ do groszy'!J50,0)</f>
        <v>0</v>
      </c>
      <c r="K50" s="421">
        <f>ROUNDUP('HSZ do groszy'!K50,0)</f>
        <v>0</v>
      </c>
      <c r="L50" s="422">
        <f>ROUNDUP('HSZ do groszy'!L50,0)</f>
        <v>0</v>
      </c>
      <c r="M50" s="418">
        <f>ROUNDUP('HSZ do groszy'!M50,0)</f>
        <v>0</v>
      </c>
      <c r="N50" s="419">
        <f>ROUNDUP('HSZ do groszy'!N50,0)</f>
        <v>0</v>
      </c>
      <c r="O50" s="421">
        <f>ROUNDUP('HSZ do groszy'!O50,0)</f>
        <v>0</v>
      </c>
      <c r="P50" s="422">
        <f>ROUNDUP('HSZ do groszy'!P50,0)</f>
        <v>0</v>
      </c>
      <c r="Q50" s="418">
        <f>ROUNDUP('HSZ do groszy'!Q50,0)</f>
        <v>0</v>
      </c>
      <c r="R50" s="419">
        <f>ROUNDUP('HSZ do groszy'!R50,0)</f>
        <v>0</v>
      </c>
      <c r="S50" s="421">
        <f>ROUNDUP('HSZ do groszy'!S50,0)</f>
        <v>0</v>
      </c>
      <c r="T50" s="422">
        <f>ROUNDUP('HSZ do groszy'!T50,0)</f>
        <v>11524</v>
      </c>
      <c r="U50" s="418">
        <f>ROUNDUP('HSZ do groszy'!U50,0)</f>
        <v>0</v>
      </c>
      <c r="V50" s="419">
        <f>ROUNDUP('HSZ do groszy'!V50,0)</f>
        <v>11524</v>
      </c>
      <c r="W50" s="421">
        <f>ROUNDUP('HSZ do groszy'!W50,0)</f>
        <v>0</v>
      </c>
      <c r="X50" s="422">
        <f>ROUNDUP('HSZ do groszy'!X50,0)</f>
        <v>11524</v>
      </c>
      <c r="Y50" s="418">
        <f>ROUNDUP('HSZ do groszy'!Y50,0)</f>
        <v>243402</v>
      </c>
      <c r="Z50" s="419">
        <f>ROUNDUP('HSZ do groszy'!Z50,0)</f>
        <v>10564</v>
      </c>
      <c r="AA50" s="421">
        <f>ROUNDUP('HSZ do groszy'!AA50,0)</f>
        <v>0</v>
      </c>
      <c r="AB50" s="422">
        <f>ROUNDUP('HSZ do groszy'!AB50,0)</f>
        <v>0</v>
      </c>
      <c r="AC50" s="418">
        <f>ROUNDUP('HSZ do groszy'!AC50,0)</f>
        <v>0</v>
      </c>
      <c r="AD50" s="419">
        <f>ROUNDUP('HSZ do groszy'!AD50,0)</f>
        <v>0</v>
      </c>
      <c r="AE50" s="421">
        <f>ROUNDUP('HSZ do groszy'!AE50,0)</f>
        <v>0</v>
      </c>
      <c r="AF50" s="419">
        <f>ROUNDUP('HSZ do groszy'!AF50,0)</f>
        <v>0</v>
      </c>
      <c r="AG50" s="421">
        <f>ROUNDUP('HSZ do groszy'!AG50,0)</f>
        <v>0</v>
      </c>
      <c r="AH50" s="423">
        <f>ROUNDUP('HSZ do groszy'!AH50,0)</f>
        <v>0</v>
      </c>
      <c r="AI50" s="421">
        <f>ROUNDUP('HSZ do groszy'!AI50,0)</f>
        <v>0</v>
      </c>
      <c r="AJ50" s="423">
        <f>ROUNDUP('HSZ do groszy'!AJ50,0)</f>
        <v>0</v>
      </c>
      <c r="AK50" s="421">
        <f>ROUNDUP('HSZ do groszy'!AK50,0)</f>
        <v>0</v>
      </c>
      <c r="AL50" s="423">
        <f>ROUNDUP('HSZ do groszy'!AL50,0)</f>
        <v>0</v>
      </c>
      <c r="AM50" s="421">
        <f>ROUNDUP('HSZ do groszy'!AM50,0)</f>
        <v>0</v>
      </c>
      <c r="AN50" s="423">
        <f>ROUNDUP('HSZ do groszy'!AN50,0)</f>
        <v>0</v>
      </c>
      <c r="AO50" s="421">
        <f>ROUNDUP('HSZ do groszy'!AO50,0)</f>
        <v>0</v>
      </c>
      <c r="AP50" s="423">
        <f>ROUNDUP('HSZ do groszy'!AP50,0)</f>
        <v>0</v>
      </c>
      <c r="AQ50" s="421">
        <f>ROUNDUP('HSZ do groszy'!AQ50,0)</f>
        <v>0</v>
      </c>
      <c r="AR50" s="423">
        <f>ROUNDUP('HSZ do groszy'!AR50,0)</f>
        <v>0</v>
      </c>
      <c r="AS50" s="193"/>
      <c r="AT50" s="193"/>
      <c r="AU50" s="424" t="str">
        <f t="shared" si="120"/>
        <v>Obligacje 2017</v>
      </c>
      <c r="AV50" s="425"/>
      <c r="AW50" s="426"/>
      <c r="AX50" s="427"/>
      <c r="AY50" s="419"/>
      <c r="AZ50" s="426"/>
      <c r="BA50" s="427"/>
      <c r="BB50" s="419"/>
      <c r="BC50" s="426"/>
      <c r="BD50" s="427"/>
      <c r="BE50" s="419"/>
      <c r="BF50" s="426"/>
      <c r="BG50" s="427"/>
      <c r="BH50" s="419"/>
      <c r="BI50" s="426"/>
      <c r="BJ50" s="427"/>
      <c r="BK50" s="419"/>
      <c r="BL50" s="426">
        <f t="shared" si="78"/>
        <v>243402</v>
      </c>
      <c r="BM50" s="427">
        <f t="shared" si="79"/>
        <v>45136</v>
      </c>
      <c r="BN50" s="419">
        <f t="shared" si="121"/>
        <v>288538</v>
      </c>
      <c r="BO50" s="426">
        <f t="shared" si="80"/>
        <v>243402</v>
      </c>
      <c r="BP50" s="427">
        <f t="shared" si="81"/>
        <v>33612</v>
      </c>
      <c r="BQ50" s="419">
        <f t="shared" si="122"/>
        <v>277014</v>
      </c>
      <c r="BR50" s="426">
        <f t="shared" si="82"/>
        <v>243402</v>
      </c>
      <c r="BS50" s="427">
        <f t="shared" si="83"/>
        <v>22088</v>
      </c>
      <c r="BT50" s="419">
        <f t="shared" si="123"/>
        <v>265490</v>
      </c>
      <c r="BU50" s="426">
        <f t="shared" si="84"/>
        <v>243402</v>
      </c>
      <c r="BV50" s="427">
        <f t="shared" si="85"/>
        <v>10564</v>
      </c>
      <c r="BW50" s="419">
        <f t="shared" si="124"/>
        <v>253966</v>
      </c>
      <c r="BX50" s="426">
        <f t="shared" si="86"/>
        <v>0</v>
      </c>
      <c r="BY50" s="427">
        <f t="shared" si="87"/>
        <v>0</v>
      </c>
      <c r="BZ50" s="419">
        <f t="shared" si="88"/>
        <v>0</v>
      </c>
      <c r="CA50" s="426">
        <f t="shared" si="89"/>
        <v>0</v>
      </c>
      <c r="CB50" s="427">
        <f t="shared" si="90"/>
        <v>0</v>
      </c>
      <c r="CC50" s="419">
        <f t="shared" si="91"/>
        <v>0</v>
      </c>
      <c r="CD50" s="426">
        <f t="shared" si="92"/>
        <v>0</v>
      </c>
      <c r="CE50" s="427">
        <f t="shared" si="93"/>
        <v>0</v>
      </c>
      <c r="CF50" s="419">
        <f t="shared" si="94"/>
        <v>0</v>
      </c>
      <c r="CG50" s="426">
        <f t="shared" si="95"/>
        <v>0</v>
      </c>
      <c r="CH50" s="427">
        <f t="shared" si="96"/>
        <v>0</v>
      </c>
      <c r="CI50" s="419">
        <f t="shared" si="97"/>
        <v>0</v>
      </c>
      <c r="CJ50" s="426">
        <f t="shared" si="98"/>
        <v>0</v>
      </c>
      <c r="CK50" s="427">
        <f t="shared" si="99"/>
        <v>0</v>
      </c>
      <c r="CL50" s="419">
        <f t="shared" si="125"/>
        <v>0</v>
      </c>
      <c r="CM50" s="426">
        <f t="shared" si="101"/>
        <v>0</v>
      </c>
      <c r="CN50" s="427">
        <f t="shared" si="102"/>
        <v>0</v>
      </c>
      <c r="CO50" s="419">
        <f t="shared" si="126"/>
        <v>0</v>
      </c>
      <c r="CP50" s="426">
        <f t="shared" si="104"/>
        <v>0</v>
      </c>
      <c r="CQ50" s="427">
        <f t="shared" si="105"/>
        <v>0</v>
      </c>
      <c r="CR50" s="419">
        <f t="shared" si="127"/>
        <v>0</v>
      </c>
      <c r="CS50" s="426">
        <f t="shared" si="107"/>
        <v>0</v>
      </c>
      <c r="CT50" s="427">
        <f t="shared" si="108"/>
        <v>0</v>
      </c>
      <c r="CU50" s="419">
        <f t="shared" si="128"/>
        <v>0</v>
      </c>
      <c r="CV50" s="426">
        <f t="shared" si="110"/>
        <v>0</v>
      </c>
      <c r="CW50" s="427">
        <f t="shared" si="111"/>
        <v>0</v>
      </c>
      <c r="CX50" s="419">
        <f t="shared" si="129"/>
        <v>0</v>
      </c>
    </row>
    <row r="51" spans="1:102">
      <c r="A51" s="432" t="str">
        <f>'HSZ do groszy'!A51</f>
        <v>Obligacje 2018</v>
      </c>
      <c r="B51" s="431">
        <f>ROUNDUP('HSZ do groszy'!B51,0)</f>
        <v>92407</v>
      </c>
      <c r="C51" s="418">
        <f>ROUNDUP('HSZ do groszy'!C51,0)</f>
        <v>0</v>
      </c>
      <c r="D51" s="419">
        <f>ROUNDUP('HSZ do groszy'!D51,0)</f>
        <v>0</v>
      </c>
      <c r="E51" s="584">
        <f t="shared" si="71"/>
        <v>92407</v>
      </c>
      <c r="F51" s="420">
        <f t="shared" si="130"/>
        <v>17139</v>
      </c>
      <c r="G51" s="418">
        <f>ROUNDUP('HSZ do groszy'!G51,0)</f>
        <v>0</v>
      </c>
      <c r="H51" s="419">
        <f>ROUNDUP('HSZ do groszy'!H51,0)</f>
        <v>0</v>
      </c>
      <c r="I51" s="418">
        <f>ROUNDUP('HSZ do groszy'!I51,0)</f>
        <v>0</v>
      </c>
      <c r="J51" s="419">
        <f>ROUNDUP('HSZ do groszy'!J51,0)</f>
        <v>0</v>
      </c>
      <c r="K51" s="421">
        <f>ROUNDUP('HSZ do groszy'!K51,0)</f>
        <v>0</v>
      </c>
      <c r="L51" s="422">
        <f>ROUNDUP('HSZ do groszy'!L51,0)</f>
        <v>0</v>
      </c>
      <c r="M51" s="418">
        <f>ROUNDUP('HSZ do groszy'!M51,0)</f>
        <v>0</v>
      </c>
      <c r="N51" s="419">
        <f>ROUNDUP('HSZ do groszy'!N51,0)</f>
        <v>0</v>
      </c>
      <c r="O51" s="421">
        <f>ROUNDUP('HSZ do groszy'!O51,0)</f>
        <v>0</v>
      </c>
      <c r="P51" s="422">
        <f>ROUNDUP('HSZ do groszy'!P51,0)</f>
        <v>0</v>
      </c>
      <c r="Q51" s="418">
        <f>ROUNDUP('HSZ do groszy'!Q51,0)</f>
        <v>0</v>
      </c>
      <c r="R51" s="419">
        <f>ROUNDUP('HSZ do groszy'!R51,0)</f>
        <v>0</v>
      </c>
      <c r="S51" s="421">
        <f>ROUNDUP('HSZ do groszy'!S51,0)</f>
        <v>0</v>
      </c>
      <c r="T51" s="422">
        <f>ROUNDUP('HSZ do groszy'!T51,0)</f>
        <v>0</v>
      </c>
      <c r="U51" s="418">
        <f>ROUNDUP('HSZ do groszy'!U51,0)</f>
        <v>0</v>
      </c>
      <c r="V51" s="419">
        <f>ROUNDUP('HSZ do groszy'!V51,0)</f>
        <v>4376</v>
      </c>
      <c r="W51" s="421">
        <f>ROUNDUP('HSZ do groszy'!W51,0)</f>
        <v>0</v>
      </c>
      <c r="X51" s="422">
        <f>ROUNDUP('HSZ do groszy'!X51,0)</f>
        <v>4376</v>
      </c>
      <c r="Y51" s="418">
        <f>ROUNDUP('HSZ do groszy'!Y51,0)</f>
        <v>0</v>
      </c>
      <c r="Z51" s="419">
        <f>ROUNDUP('HSZ do groszy'!Z51,0)</f>
        <v>4376</v>
      </c>
      <c r="AA51" s="421">
        <f>ROUNDUP('HSZ do groszy'!AA51,0)</f>
        <v>92407</v>
      </c>
      <c r="AB51" s="422">
        <f>ROUNDUP('HSZ do groszy'!AB51,0)</f>
        <v>4011</v>
      </c>
      <c r="AC51" s="418">
        <f>ROUNDUP('HSZ do groszy'!AC51,0)</f>
        <v>0</v>
      </c>
      <c r="AD51" s="419">
        <f>ROUNDUP('HSZ do groszy'!AD51,0)</f>
        <v>0</v>
      </c>
      <c r="AE51" s="421">
        <f>ROUNDUP('HSZ do groszy'!AE51,0)</f>
        <v>0</v>
      </c>
      <c r="AF51" s="419">
        <f>ROUNDUP('HSZ do groszy'!AF51,0)</f>
        <v>0</v>
      </c>
      <c r="AG51" s="421">
        <f>ROUNDUP('HSZ do groszy'!AG51,0)</f>
        <v>0</v>
      </c>
      <c r="AH51" s="423">
        <f>ROUNDUP('HSZ do groszy'!AH51,0)</f>
        <v>0</v>
      </c>
      <c r="AI51" s="421">
        <f>ROUNDUP('HSZ do groszy'!AI51,0)</f>
        <v>0</v>
      </c>
      <c r="AJ51" s="423">
        <f>ROUNDUP('HSZ do groszy'!AJ51,0)</f>
        <v>0</v>
      </c>
      <c r="AK51" s="421">
        <f>ROUNDUP('HSZ do groszy'!AK51,0)</f>
        <v>0</v>
      </c>
      <c r="AL51" s="423">
        <f>ROUNDUP('HSZ do groszy'!AL51,0)</f>
        <v>0</v>
      </c>
      <c r="AM51" s="421">
        <f>ROUNDUP('HSZ do groszy'!AM51,0)</f>
        <v>0</v>
      </c>
      <c r="AN51" s="423">
        <f>ROUNDUP('HSZ do groszy'!AN51,0)</f>
        <v>0</v>
      </c>
      <c r="AO51" s="421">
        <f>ROUNDUP('HSZ do groszy'!AO51,0)</f>
        <v>0</v>
      </c>
      <c r="AP51" s="423">
        <f>ROUNDUP('HSZ do groszy'!AP51,0)</f>
        <v>0</v>
      </c>
      <c r="AQ51" s="421">
        <f>ROUNDUP('HSZ do groszy'!AQ51,0)</f>
        <v>0</v>
      </c>
      <c r="AR51" s="423">
        <f>ROUNDUP('HSZ do groszy'!AR51,0)</f>
        <v>0</v>
      </c>
      <c r="AS51" s="193"/>
      <c r="AT51" s="193"/>
      <c r="AU51" s="424" t="str">
        <f t="shared" si="120"/>
        <v>Obligacje 2018</v>
      </c>
      <c r="AV51" s="425"/>
      <c r="AW51" s="426"/>
      <c r="AX51" s="427"/>
      <c r="AY51" s="419"/>
      <c r="AZ51" s="426"/>
      <c r="BA51" s="427"/>
      <c r="BB51" s="419"/>
      <c r="BC51" s="426"/>
      <c r="BD51" s="427"/>
      <c r="BE51" s="419"/>
      <c r="BF51" s="426"/>
      <c r="BG51" s="427"/>
      <c r="BH51" s="419"/>
      <c r="BI51" s="426"/>
      <c r="BJ51" s="427"/>
      <c r="BK51" s="419"/>
      <c r="BL51" s="426"/>
      <c r="BM51" s="427"/>
      <c r="BN51" s="419"/>
      <c r="BO51" s="426">
        <f t="shared" si="80"/>
        <v>92407</v>
      </c>
      <c r="BP51" s="427">
        <f t="shared" si="81"/>
        <v>17139</v>
      </c>
      <c r="BQ51" s="419">
        <f t="shared" si="122"/>
        <v>109546</v>
      </c>
      <c r="BR51" s="426">
        <f t="shared" si="82"/>
        <v>92407</v>
      </c>
      <c r="BS51" s="427">
        <f t="shared" si="83"/>
        <v>12763</v>
      </c>
      <c r="BT51" s="419">
        <f t="shared" si="123"/>
        <v>105170</v>
      </c>
      <c r="BU51" s="426">
        <f t="shared" si="84"/>
        <v>92407</v>
      </c>
      <c r="BV51" s="427">
        <f t="shared" si="85"/>
        <v>8387</v>
      </c>
      <c r="BW51" s="419">
        <f t="shared" si="124"/>
        <v>100794</v>
      </c>
      <c r="BX51" s="426">
        <f t="shared" si="86"/>
        <v>92407</v>
      </c>
      <c r="BY51" s="427">
        <f t="shared" si="87"/>
        <v>4011</v>
      </c>
      <c r="BZ51" s="419">
        <f t="shared" si="88"/>
        <v>96418</v>
      </c>
      <c r="CA51" s="426">
        <f t="shared" si="89"/>
        <v>0</v>
      </c>
      <c r="CB51" s="427">
        <f t="shared" si="90"/>
        <v>0</v>
      </c>
      <c r="CC51" s="419">
        <f t="shared" si="91"/>
        <v>0</v>
      </c>
      <c r="CD51" s="426">
        <f t="shared" si="92"/>
        <v>0</v>
      </c>
      <c r="CE51" s="427">
        <f t="shared" si="93"/>
        <v>0</v>
      </c>
      <c r="CF51" s="419">
        <f t="shared" si="94"/>
        <v>0</v>
      </c>
      <c r="CG51" s="426">
        <f t="shared" si="95"/>
        <v>0</v>
      </c>
      <c r="CH51" s="427">
        <f t="shared" si="96"/>
        <v>0</v>
      </c>
      <c r="CI51" s="419">
        <f t="shared" si="97"/>
        <v>0</v>
      </c>
      <c r="CJ51" s="426">
        <f t="shared" si="98"/>
        <v>0</v>
      </c>
      <c r="CK51" s="427">
        <f t="shared" si="99"/>
        <v>0</v>
      </c>
      <c r="CL51" s="419">
        <f t="shared" si="125"/>
        <v>0</v>
      </c>
      <c r="CM51" s="426">
        <f t="shared" si="101"/>
        <v>0</v>
      </c>
      <c r="CN51" s="427">
        <f t="shared" si="102"/>
        <v>0</v>
      </c>
      <c r="CO51" s="419">
        <f t="shared" si="126"/>
        <v>0</v>
      </c>
      <c r="CP51" s="426">
        <f t="shared" si="104"/>
        <v>0</v>
      </c>
      <c r="CQ51" s="427">
        <f t="shared" si="105"/>
        <v>0</v>
      </c>
      <c r="CR51" s="419">
        <f t="shared" si="127"/>
        <v>0</v>
      </c>
      <c r="CS51" s="426">
        <f t="shared" si="107"/>
        <v>0</v>
      </c>
      <c r="CT51" s="427">
        <f t="shared" si="108"/>
        <v>0</v>
      </c>
      <c r="CU51" s="419">
        <f t="shared" si="128"/>
        <v>0</v>
      </c>
      <c r="CV51" s="426">
        <f t="shared" si="110"/>
        <v>0</v>
      </c>
      <c r="CW51" s="427">
        <f t="shared" si="111"/>
        <v>0</v>
      </c>
      <c r="CX51" s="419">
        <f t="shared" si="129"/>
        <v>0</v>
      </c>
    </row>
    <row r="52" spans="1:102">
      <c r="A52" s="432" t="str">
        <f>'HSZ do groszy'!A52</f>
        <v>Obligacje 2019</v>
      </c>
      <c r="B52" s="431">
        <f>ROUNDUP('HSZ do groszy'!B52,0)</f>
        <v>895589</v>
      </c>
      <c r="C52" s="418">
        <f>ROUNDUP('HSZ do groszy'!C52,0)</f>
        <v>0</v>
      </c>
      <c r="D52" s="419">
        <f>ROUNDUP('HSZ do groszy'!D52,0)</f>
        <v>0</v>
      </c>
      <c r="E52" s="584">
        <f t="shared" si="71"/>
        <v>895589</v>
      </c>
      <c r="F52" s="420">
        <f t="shared" si="130"/>
        <v>166078</v>
      </c>
      <c r="G52" s="418">
        <f>ROUNDUP('HSZ do groszy'!G52,0)</f>
        <v>0</v>
      </c>
      <c r="H52" s="419">
        <f>ROUNDUP('HSZ do groszy'!H52,0)</f>
        <v>0</v>
      </c>
      <c r="I52" s="418">
        <f>ROUNDUP('HSZ do groszy'!I52,0)</f>
        <v>0</v>
      </c>
      <c r="J52" s="419">
        <f>ROUNDUP('HSZ do groszy'!J52,0)</f>
        <v>0</v>
      </c>
      <c r="K52" s="421">
        <f>ROUNDUP('HSZ do groszy'!K52,0)</f>
        <v>0</v>
      </c>
      <c r="L52" s="422">
        <f>ROUNDUP('HSZ do groszy'!L52,0)</f>
        <v>0</v>
      </c>
      <c r="M52" s="418">
        <f>ROUNDUP('HSZ do groszy'!M52,0)</f>
        <v>0</v>
      </c>
      <c r="N52" s="419">
        <f>ROUNDUP('HSZ do groszy'!N52,0)</f>
        <v>0</v>
      </c>
      <c r="O52" s="421">
        <f>ROUNDUP('HSZ do groszy'!O52,0)</f>
        <v>0</v>
      </c>
      <c r="P52" s="422">
        <f>ROUNDUP('HSZ do groszy'!P52,0)</f>
        <v>0</v>
      </c>
      <c r="Q52" s="418">
        <f>ROUNDUP('HSZ do groszy'!Q52,0)</f>
        <v>0</v>
      </c>
      <c r="R52" s="419">
        <f>ROUNDUP('HSZ do groszy'!R52,0)</f>
        <v>0</v>
      </c>
      <c r="S52" s="421">
        <f>ROUNDUP('HSZ do groszy'!S52,0)</f>
        <v>0</v>
      </c>
      <c r="T52" s="422">
        <f>ROUNDUP('HSZ do groszy'!T52,0)</f>
        <v>0</v>
      </c>
      <c r="U52" s="418">
        <f>ROUNDUP('HSZ do groszy'!U52,0)</f>
        <v>0</v>
      </c>
      <c r="V52" s="419">
        <f>ROUNDUP('HSZ do groszy'!V52,0)</f>
        <v>0</v>
      </c>
      <c r="W52" s="421">
        <f>ROUNDUP('HSZ do groszy'!W52,0)</f>
        <v>0</v>
      </c>
      <c r="X52" s="422">
        <f>ROUNDUP('HSZ do groszy'!X52,0)</f>
        <v>42403</v>
      </c>
      <c r="Y52" s="418">
        <f>ROUNDUP('HSZ do groszy'!Y52,0)</f>
        <v>0</v>
      </c>
      <c r="Z52" s="419">
        <f>ROUNDUP('HSZ do groszy'!Z52,0)</f>
        <v>42403</v>
      </c>
      <c r="AA52" s="421">
        <f>ROUNDUP('HSZ do groszy'!AA52,0)</f>
        <v>0</v>
      </c>
      <c r="AB52" s="422">
        <f>ROUNDUP('HSZ do groszy'!AB52,0)</f>
        <v>42403</v>
      </c>
      <c r="AC52" s="418">
        <f>ROUNDUP('HSZ do groszy'!AC52,0)</f>
        <v>895589</v>
      </c>
      <c r="AD52" s="419">
        <f>ROUNDUP('HSZ do groszy'!AD52,0)</f>
        <v>38869</v>
      </c>
      <c r="AE52" s="421">
        <f>ROUNDUP('HSZ do groszy'!AE52,0)</f>
        <v>0</v>
      </c>
      <c r="AF52" s="419">
        <f>ROUNDUP('HSZ do groszy'!AF52,0)</f>
        <v>0</v>
      </c>
      <c r="AG52" s="421">
        <f>ROUNDUP('HSZ do groszy'!AG52,0)</f>
        <v>0</v>
      </c>
      <c r="AH52" s="423">
        <f>ROUNDUP('HSZ do groszy'!AH52,0)</f>
        <v>0</v>
      </c>
      <c r="AI52" s="421">
        <f>ROUNDUP('HSZ do groszy'!AI52,0)</f>
        <v>0</v>
      </c>
      <c r="AJ52" s="423">
        <f>ROUNDUP('HSZ do groszy'!AJ52,0)</f>
        <v>0</v>
      </c>
      <c r="AK52" s="421">
        <f>ROUNDUP('HSZ do groszy'!AK52,0)</f>
        <v>0</v>
      </c>
      <c r="AL52" s="423">
        <f>ROUNDUP('HSZ do groszy'!AL52,0)</f>
        <v>0</v>
      </c>
      <c r="AM52" s="421">
        <f>ROUNDUP('HSZ do groszy'!AM52,0)</f>
        <v>0</v>
      </c>
      <c r="AN52" s="423">
        <f>ROUNDUP('HSZ do groszy'!AN52,0)</f>
        <v>0</v>
      </c>
      <c r="AO52" s="421">
        <f>ROUNDUP('HSZ do groszy'!AO52,0)</f>
        <v>0</v>
      </c>
      <c r="AP52" s="423">
        <f>ROUNDUP('HSZ do groszy'!AP52,0)</f>
        <v>0</v>
      </c>
      <c r="AQ52" s="421">
        <f>ROUNDUP('HSZ do groszy'!AQ52,0)</f>
        <v>0</v>
      </c>
      <c r="AR52" s="423">
        <f>ROUNDUP('HSZ do groszy'!AR52,0)</f>
        <v>0</v>
      </c>
      <c r="AS52" s="193"/>
      <c r="AT52" s="193"/>
      <c r="AU52" s="424" t="str">
        <f t="shared" si="120"/>
        <v>Obligacje 2019</v>
      </c>
      <c r="AV52" s="425"/>
      <c r="AW52" s="426"/>
      <c r="AX52" s="427"/>
      <c r="AY52" s="419"/>
      <c r="AZ52" s="426"/>
      <c r="BA52" s="427"/>
      <c r="BB52" s="419"/>
      <c r="BC52" s="426"/>
      <c r="BD52" s="427"/>
      <c r="BE52" s="419"/>
      <c r="BF52" s="426"/>
      <c r="BG52" s="427"/>
      <c r="BH52" s="419"/>
      <c r="BI52" s="426"/>
      <c r="BJ52" s="427"/>
      <c r="BK52" s="419"/>
      <c r="BL52" s="426"/>
      <c r="BM52" s="427"/>
      <c r="BN52" s="419"/>
      <c r="BO52" s="426"/>
      <c r="BP52" s="427"/>
      <c r="BQ52" s="419"/>
      <c r="BR52" s="426">
        <f t="shared" si="82"/>
        <v>895589</v>
      </c>
      <c r="BS52" s="427">
        <f t="shared" si="83"/>
        <v>166078</v>
      </c>
      <c r="BT52" s="419">
        <f t="shared" si="123"/>
        <v>1061667</v>
      </c>
      <c r="BU52" s="426">
        <f t="shared" si="84"/>
        <v>895589</v>
      </c>
      <c r="BV52" s="427">
        <f t="shared" si="85"/>
        <v>123675</v>
      </c>
      <c r="BW52" s="419">
        <f t="shared" si="124"/>
        <v>1019264</v>
      </c>
      <c r="BX52" s="426">
        <f t="shared" si="86"/>
        <v>895589</v>
      </c>
      <c r="BY52" s="427">
        <f t="shared" si="87"/>
        <v>81272</v>
      </c>
      <c r="BZ52" s="419">
        <f t="shared" si="88"/>
        <v>976861</v>
      </c>
      <c r="CA52" s="426">
        <f t="shared" si="89"/>
        <v>895589</v>
      </c>
      <c r="CB52" s="427">
        <f t="shared" si="90"/>
        <v>38869</v>
      </c>
      <c r="CC52" s="419">
        <f t="shared" si="91"/>
        <v>934458</v>
      </c>
      <c r="CD52" s="426">
        <f t="shared" si="92"/>
        <v>0</v>
      </c>
      <c r="CE52" s="427">
        <f t="shared" si="93"/>
        <v>0</v>
      </c>
      <c r="CF52" s="419">
        <f t="shared" si="94"/>
        <v>0</v>
      </c>
      <c r="CG52" s="426">
        <f t="shared" si="95"/>
        <v>0</v>
      </c>
      <c r="CH52" s="427">
        <f t="shared" si="96"/>
        <v>0</v>
      </c>
      <c r="CI52" s="419">
        <f t="shared" si="97"/>
        <v>0</v>
      </c>
      <c r="CJ52" s="426">
        <f t="shared" si="98"/>
        <v>0</v>
      </c>
      <c r="CK52" s="427">
        <f t="shared" si="99"/>
        <v>0</v>
      </c>
      <c r="CL52" s="419">
        <f t="shared" si="125"/>
        <v>0</v>
      </c>
      <c r="CM52" s="426">
        <f t="shared" si="101"/>
        <v>0</v>
      </c>
      <c r="CN52" s="427">
        <f t="shared" si="102"/>
        <v>0</v>
      </c>
      <c r="CO52" s="419">
        <f t="shared" si="126"/>
        <v>0</v>
      </c>
      <c r="CP52" s="426">
        <f t="shared" si="104"/>
        <v>0</v>
      </c>
      <c r="CQ52" s="427">
        <f t="shared" si="105"/>
        <v>0</v>
      </c>
      <c r="CR52" s="419">
        <f t="shared" si="127"/>
        <v>0</v>
      </c>
      <c r="CS52" s="426">
        <f t="shared" si="107"/>
        <v>0</v>
      </c>
      <c r="CT52" s="427">
        <f t="shared" si="108"/>
        <v>0</v>
      </c>
      <c r="CU52" s="419">
        <f t="shared" si="128"/>
        <v>0</v>
      </c>
      <c r="CV52" s="426">
        <f t="shared" si="110"/>
        <v>0</v>
      </c>
      <c r="CW52" s="427">
        <f t="shared" si="111"/>
        <v>0</v>
      </c>
      <c r="CX52" s="419">
        <f t="shared" si="129"/>
        <v>0</v>
      </c>
    </row>
    <row r="53" spans="1:102">
      <c r="A53" s="432" t="str">
        <f>'HSZ do groszy'!A53</f>
        <v>Obligacje 2020</v>
      </c>
      <c r="B53" s="431">
        <f>ROUNDUP('HSZ do groszy'!B53,0)</f>
        <v>0</v>
      </c>
      <c r="C53" s="418">
        <f>ROUNDUP('HSZ do groszy'!C53,0)</f>
        <v>0</v>
      </c>
      <c r="D53" s="419">
        <f>ROUNDUP('HSZ do groszy'!D53,0)</f>
        <v>0</v>
      </c>
      <c r="E53" s="584">
        <f t="shared" si="71"/>
        <v>0</v>
      </c>
      <c r="F53" s="420">
        <f t="shared" si="130"/>
        <v>0</v>
      </c>
      <c r="G53" s="418">
        <f>ROUNDUP('HSZ do groszy'!G53,0)</f>
        <v>0</v>
      </c>
      <c r="H53" s="419">
        <f>ROUNDUP('HSZ do groszy'!H53,0)</f>
        <v>0</v>
      </c>
      <c r="I53" s="418">
        <f>ROUNDUP('HSZ do groszy'!I53,0)</f>
        <v>0</v>
      </c>
      <c r="J53" s="419">
        <f>ROUNDUP('HSZ do groszy'!J53,0)</f>
        <v>0</v>
      </c>
      <c r="K53" s="421">
        <f>ROUNDUP('HSZ do groszy'!K53,0)</f>
        <v>0</v>
      </c>
      <c r="L53" s="422">
        <f>ROUNDUP('HSZ do groszy'!L53,0)</f>
        <v>0</v>
      </c>
      <c r="M53" s="418">
        <f>ROUNDUP('HSZ do groszy'!M53,0)</f>
        <v>0</v>
      </c>
      <c r="N53" s="419">
        <f>ROUNDUP('HSZ do groszy'!N53,0)</f>
        <v>0</v>
      </c>
      <c r="O53" s="421">
        <f>ROUNDUP('HSZ do groszy'!O53,0)</f>
        <v>0</v>
      </c>
      <c r="P53" s="422">
        <f>ROUNDUP('HSZ do groszy'!P53,0)</f>
        <v>0</v>
      </c>
      <c r="Q53" s="418">
        <f>ROUNDUP('HSZ do groszy'!Q53,0)</f>
        <v>0</v>
      </c>
      <c r="R53" s="419">
        <f>ROUNDUP('HSZ do groszy'!R53,0)</f>
        <v>0</v>
      </c>
      <c r="S53" s="421">
        <f>ROUNDUP('HSZ do groszy'!S53,0)</f>
        <v>0</v>
      </c>
      <c r="T53" s="422">
        <f>ROUNDUP('HSZ do groszy'!T53,0)</f>
        <v>0</v>
      </c>
      <c r="U53" s="418">
        <f>ROUNDUP('HSZ do groszy'!U53,0)</f>
        <v>0</v>
      </c>
      <c r="V53" s="419">
        <f>ROUNDUP('HSZ do groszy'!V53,0)</f>
        <v>0</v>
      </c>
      <c r="W53" s="421">
        <f>ROUNDUP('HSZ do groszy'!W53,0)</f>
        <v>0</v>
      </c>
      <c r="X53" s="422">
        <f>ROUNDUP('HSZ do groszy'!X53,0)</f>
        <v>0</v>
      </c>
      <c r="Y53" s="418">
        <f>ROUNDUP('HSZ do groszy'!Y53,0)</f>
        <v>0</v>
      </c>
      <c r="Z53" s="419">
        <f>ROUNDUP('HSZ do groszy'!Z53,0)</f>
        <v>0</v>
      </c>
      <c r="AA53" s="421">
        <f>ROUNDUP('HSZ do groszy'!AA53,0)</f>
        <v>0</v>
      </c>
      <c r="AB53" s="422">
        <f>ROUNDUP('HSZ do groszy'!AB53,0)</f>
        <v>0</v>
      </c>
      <c r="AC53" s="418">
        <f>ROUNDUP('HSZ do groszy'!AC53,0)</f>
        <v>0</v>
      </c>
      <c r="AD53" s="419">
        <f>ROUNDUP('HSZ do groszy'!AD53,0)</f>
        <v>0</v>
      </c>
      <c r="AE53" s="421">
        <f>ROUNDUP('HSZ do groszy'!AE53,0)</f>
        <v>0</v>
      </c>
      <c r="AF53" s="419">
        <f>ROUNDUP('HSZ do groszy'!AF53,0)</f>
        <v>0</v>
      </c>
      <c r="AG53" s="421">
        <f>ROUNDUP('HSZ do groszy'!AG53,0)</f>
        <v>0</v>
      </c>
      <c r="AH53" s="423">
        <f>ROUNDUP('HSZ do groszy'!AH53,0)</f>
        <v>0</v>
      </c>
      <c r="AI53" s="421">
        <f>ROUNDUP('HSZ do groszy'!AI53,0)</f>
        <v>0</v>
      </c>
      <c r="AJ53" s="423">
        <f>ROUNDUP('HSZ do groszy'!AJ53,0)</f>
        <v>0</v>
      </c>
      <c r="AK53" s="421">
        <f>ROUNDUP('HSZ do groszy'!AK53,0)</f>
        <v>0</v>
      </c>
      <c r="AL53" s="423">
        <f>ROUNDUP('HSZ do groszy'!AL53,0)</f>
        <v>0</v>
      </c>
      <c r="AM53" s="421">
        <f>ROUNDUP('HSZ do groszy'!AM53,0)</f>
        <v>0</v>
      </c>
      <c r="AN53" s="423">
        <f>ROUNDUP('HSZ do groszy'!AN53,0)</f>
        <v>0</v>
      </c>
      <c r="AO53" s="421">
        <f>ROUNDUP('HSZ do groszy'!AO53,0)</f>
        <v>0</v>
      </c>
      <c r="AP53" s="423">
        <f>ROUNDUP('HSZ do groszy'!AP53,0)</f>
        <v>0</v>
      </c>
      <c r="AQ53" s="421">
        <f>ROUNDUP('HSZ do groszy'!AQ53,0)</f>
        <v>0</v>
      </c>
      <c r="AR53" s="423">
        <f>ROUNDUP('HSZ do groszy'!AR53,0)</f>
        <v>0</v>
      </c>
      <c r="AS53" s="193"/>
      <c r="AT53" s="193"/>
      <c r="AU53" s="424" t="str">
        <f t="shared" si="120"/>
        <v>Obligacje 2020</v>
      </c>
      <c r="AV53" s="425"/>
      <c r="AW53" s="426"/>
      <c r="AX53" s="427"/>
      <c r="AY53" s="419"/>
      <c r="AZ53" s="426"/>
      <c r="BA53" s="427"/>
      <c r="BB53" s="419"/>
      <c r="BC53" s="426"/>
      <c r="BD53" s="427"/>
      <c r="BE53" s="419"/>
      <c r="BF53" s="426"/>
      <c r="BG53" s="427"/>
      <c r="BH53" s="419"/>
      <c r="BI53" s="426"/>
      <c r="BJ53" s="427"/>
      <c r="BK53" s="419"/>
      <c r="BL53" s="426"/>
      <c r="BM53" s="427"/>
      <c r="BN53" s="419"/>
      <c r="BO53" s="426"/>
      <c r="BP53" s="427"/>
      <c r="BQ53" s="419"/>
      <c r="BR53" s="426"/>
      <c r="BS53" s="427"/>
      <c r="BT53" s="419"/>
      <c r="BU53" s="426">
        <f t="shared" si="84"/>
        <v>0</v>
      </c>
      <c r="BV53" s="427">
        <f t="shared" si="85"/>
        <v>0</v>
      </c>
      <c r="BW53" s="419">
        <f t="shared" si="124"/>
        <v>0</v>
      </c>
      <c r="BX53" s="426">
        <f t="shared" si="86"/>
        <v>0</v>
      </c>
      <c r="BY53" s="427">
        <f t="shared" si="87"/>
        <v>0</v>
      </c>
      <c r="BZ53" s="419">
        <f t="shared" si="88"/>
        <v>0</v>
      </c>
      <c r="CA53" s="426">
        <f>SUM($AC53,$AE53,$AG53)</f>
        <v>0</v>
      </c>
      <c r="CB53" s="427">
        <f t="shared" si="90"/>
        <v>0</v>
      </c>
      <c r="CC53" s="419">
        <f t="shared" si="91"/>
        <v>0</v>
      </c>
      <c r="CD53" s="426">
        <f t="shared" si="92"/>
        <v>0</v>
      </c>
      <c r="CE53" s="427">
        <f t="shared" si="93"/>
        <v>0</v>
      </c>
      <c r="CF53" s="419">
        <f t="shared" si="94"/>
        <v>0</v>
      </c>
      <c r="CG53" s="426">
        <f t="shared" si="95"/>
        <v>0</v>
      </c>
      <c r="CH53" s="427">
        <f t="shared" si="96"/>
        <v>0</v>
      </c>
      <c r="CI53" s="419">
        <f t="shared" si="97"/>
        <v>0</v>
      </c>
      <c r="CJ53" s="426">
        <f t="shared" si="98"/>
        <v>0</v>
      </c>
      <c r="CK53" s="427">
        <f t="shared" si="99"/>
        <v>0</v>
      </c>
      <c r="CL53" s="419">
        <f t="shared" si="125"/>
        <v>0</v>
      </c>
      <c r="CM53" s="426">
        <f t="shared" si="101"/>
        <v>0</v>
      </c>
      <c r="CN53" s="427">
        <f t="shared" si="102"/>
        <v>0</v>
      </c>
      <c r="CO53" s="419">
        <f t="shared" si="126"/>
        <v>0</v>
      </c>
      <c r="CP53" s="426">
        <f t="shared" si="104"/>
        <v>0</v>
      </c>
      <c r="CQ53" s="427">
        <f t="shared" si="105"/>
        <v>0</v>
      </c>
      <c r="CR53" s="419">
        <f t="shared" si="127"/>
        <v>0</v>
      </c>
      <c r="CS53" s="426">
        <f t="shared" si="107"/>
        <v>0</v>
      </c>
      <c r="CT53" s="427">
        <f t="shared" si="108"/>
        <v>0</v>
      </c>
      <c r="CU53" s="419">
        <f t="shared" si="128"/>
        <v>0</v>
      </c>
      <c r="CV53" s="426">
        <f t="shared" si="110"/>
        <v>0</v>
      </c>
      <c r="CW53" s="427">
        <f t="shared" si="111"/>
        <v>0</v>
      </c>
      <c r="CX53" s="419">
        <f t="shared" si="129"/>
        <v>0</v>
      </c>
    </row>
    <row r="54" spans="1:102">
      <c r="A54" s="432" t="str">
        <f>'HSZ do groszy'!A54</f>
        <v>Obligacje 2021</v>
      </c>
      <c r="B54" s="431">
        <f>ROUNDUP('HSZ do groszy'!B54,0)</f>
        <v>0</v>
      </c>
      <c r="C54" s="418">
        <f>ROUNDUP('HSZ do groszy'!C54,0)</f>
        <v>0</v>
      </c>
      <c r="D54" s="419">
        <f>ROUNDUP('HSZ do groszy'!D54,0)</f>
        <v>0</v>
      </c>
      <c r="E54" s="584">
        <f t="shared" si="71"/>
        <v>0</v>
      </c>
      <c r="F54" s="420">
        <f t="shared" si="130"/>
        <v>0</v>
      </c>
      <c r="G54" s="418">
        <f>ROUNDUP('HSZ do groszy'!G54,0)</f>
        <v>0</v>
      </c>
      <c r="H54" s="419">
        <f>ROUNDUP('HSZ do groszy'!H54,0)</f>
        <v>0</v>
      </c>
      <c r="I54" s="418">
        <f>ROUNDUP('HSZ do groszy'!I54,0)</f>
        <v>0</v>
      </c>
      <c r="J54" s="419">
        <f>ROUNDUP('HSZ do groszy'!J54,0)</f>
        <v>0</v>
      </c>
      <c r="K54" s="421">
        <f>ROUNDUP('HSZ do groszy'!K54,0)</f>
        <v>0</v>
      </c>
      <c r="L54" s="422">
        <f>ROUNDUP('HSZ do groszy'!L54,0)</f>
        <v>0</v>
      </c>
      <c r="M54" s="418">
        <f>ROUNDUP('HSZ do groszy'!M54,0)</f>
        <v>0</v>
      </c>
      <c r="N54" s="419">
        <f>ROUNDUP('HSZ do groszy'!N54,0)</f>
        <v>0</v>
      </c>
      <c r="O54" s="421">
        <f>ROUNDUP('HSZ do groszy'!O54,0)</f>
        <v>0</v>
      </c>
      <c r="P54" s="422">
        <f>ROUNDUP('HSZ do groszy'!P54,0)</f>
        <v>0</v>
      </c>
      <c r="Q54" s="418">
        <f>ROUNDUP('HSZ do groszy'!Q54,0)</f>
        <v>0</v>
      </c>
      <c r="R54" s="419">
        <f>ROUNDUP('HSZ do groszy'!R54,0)</f>
        <v>0</v>
      </c>
      <c r="S54" s="421">
        <f>ROUNDUP('HSZ do groszy'!S54,0)</f>
        <v>0</v>
      </c>
      <c r="T54" s="422">
        <f>ROUNDUP('HSZ do groszy'!T54,0)</f>
        <v>0</v>
      </c>
      <c r="U54" s="418">
        <f>ROUNDUP('HSZ do groszy'!U54,0)</f>
        <v>0</v>
      </c>
      <c r="V54" s="419">
        <f>ROUNDUP('HSZ do groszy'!V54,0)</f>
        <v>0</v>
      </c>
      <c r="W54" s="421">
        <f>ROUNDUP('HSZ do groszy'!W54,0)</f>
        <v>0</v>
      </c>
      <c r="X54" s="422">
        <f>ROUNDUP('HSZ do groszy'!X54,0)</f>
        <v>0</v>
      </c>
      <c r="Y54" s="418">
        <f>ROUNDUP('HSZ do groszy'!Y54,0)</f>
        <v>0</v>
      </c>
      <c r="Z54" s="419">
        <f>ROUNDUP('HSZ do groszy'!Z54,0)</f>
        <v>0</v>
      </c>
      <c r="AA54" s="421">
        <f>ROUNDUP('HSZ do groszy'!AA54,0)</f>
        <v>0</v>
      </c>
      <c r="AB54" s="422">
        <f>ROUNDUP('HSZ do groszy'!AB54,0)</f>
        <v>0</v>
      </c>
      <c r="AC54" s="418">
        <f>ROUNDUP('HSZ do groszy'!AC54,0)</f>
        <v>0</v>
      </c>
      <c r="AD54" s="419">
        <f>ROUNDUP('HSZ do groszy'!AD54,0)</f>
        <v>0</v>
      </c>
      <c r="AE54" s="421">
        <f>ROUNDUP('HSZ do groszy'!AE54,0)</f>
        <v>0</v>
      </c>
      <c r="AF54" s="419">
        <f>ROUNDUP('HSZ do groszy'!AF54,0)</f>
        <v>0</v>
      </c>
      <c r="AG54" s="421">
        <f>ROUNDUP('HSZ do groszy'!AG54,0)</f>
        <v>0</v>
      </c>
      <c r="AH54" s="423">
        <f>ROUNDUP('HSZ do groszy'!AH54,0)</f>
        <v>0</v>
      </c>
      <c r="AI54" s="421">
        <f>ROUNDUP('HSZ do groszy'!AI54,0)</f>
        <v>0</v>
      </c>
      <c r="AJ54" s="423">
        <f>ROUNDUP('HSZ do groszy'!AJ54,0)</f>
        <v>0</v>
      </c>
      <c r="AK54" s="421">
        <f>ROUNDUP('HSZ do groszy'!AK54,0)</f>
        <v>0</v>
      </c>
      <c r="AL54" s="423">
        <f>ROUNDUP('HSZ do groszy'!AL54,0)</f>
        <v>0</v>
      </c>
      <c r="AM54" s="421">
        <f>ROUNDUP('HSZ do groszy'!AM54,0)</f>
        <v>0</v>
      </c>
      <c r="AN54" s="423">
        <f>ROUNDUP('HSZ do groszy'!AN54,0)</f>
        <v>0</v>
      </c>
      <c r="AO54" s="421">
        <f>ROUNDUP('HSZ do groszy'!AO54,0)</f>
        <v>0</v>
      </c>
      <c r="AP54" s="423">
        <f>ROUNDUP('HSZ do groszy'!AP54,0)</f>
        <v>0</v>
      </c>
      <c r="AQ54" s="421">
        <f>ROUNDUP('HSZ do groszy'!AQ54,0)</f>
        <v>0</v>
      </c>
      <c r="AR54" s="423">
        <f>ROUNDUP('HSZ do groszy'!AR54,0)</f>
        <v>0</v>
      </c>
      <c r="AS54" s="193"/>
      <c r="AT54" s="193"/>
      <c r="AU54" s="424" t="str">
        <f>A54</f>
        <v>Obligacje 2021</v>
      </c>
      <c r="AV54" s="425"/>
      <c r="AW54" s="426"/>
      <c r="AX54" s="427"/>
      <c r="AY54" s="419"/>
      <c r="AZ54" s="426"/>
      <c r="BA54" s="427"/>
      <c r="BB54" s="419"/>
      <c r="BC54" s="426"/>
      <c r="BD54" s="427"/>
      <c r="BE54" s="419"/>
      <c r="BF54" s="426"/>
      <c r="BG54" s="427"/>
      <c r="BH54" s="419"/>
      <c r="BI54" s="426"/>
      <c r="BJ54" s="427"/>
      <c r="BK54" s="419"/>
      <c r="BL54" s="426"/>
      <c r="BM54" s="427"/>
      <c r="BN54" s="419"/>
      <c r="BO54" s="426"/>
      <c r="BP54" s="427"/>
      <c r="BQ54" s="419"/>
      <c r="BR54" s="426"/>
      <c r="BS54" s="427"/>
      <c r="BT54" s="419"/>
      <c r="BU54" s="426"/>
      <c r="BV54" s="427"/>
      <c r="BW54" s="419"/>
      <c r="BX54" s="426">
        <f t="shared" si="86"/>
        <v>0</v>
      </c>
      <c r="BY54" s="427">
        <f t="shared" si="87"/>
        <v>0</v>
      </c>
      <c r="BZ54" s="419">
        <f t="shared" si="88"/>
        <v>0</v>
      </c>
      <c r="CA54" s="426">
        <f t="shared" si="89"/>
        <v>0</v>
      </c>
      <c r="CB54" s="427">
        <f t="shared" si="90"/>
        <v>0</v>
      </c>
      <c r="CC54" s="419">
        <f t="shared" si="91"/>
        <v>0</v>
      </c>
      <c r="CD54" s="426">
        <f t="shared" si="92"/>
        <v>0</v>
      </c>
      <c r="CE54" s="427">
        <f t="shared" si="93"/>
        <v>0</v>
      </c>
      <c r="CF54" s="419">
        <f t="shared" si="94"/>
        <v>0</v>
      </c>
      <c r="CG54" s="426">
        <f t="shared" si="95"/>
        <v>0</v>
      </c>
      <c r="CH54" s="427">
        <f t="shared" si="96"/>
        <v>0</v>
      </c>
      <c r="CI54" s="419">
        <f t="shared" si="97"/>
        <v>0</v>
      </c>
      <c r="CJ54" s="426">
        <f t="shared" si="98"/>
        <v>0</v>
      </c>
      <c r="CK54" s="427">
        <f t="shared" si="99"/>
        <v>0</v>
      </c>
      <c r="CL54" s="419">
        <f t="shared" si="125"/>
        <v>0</v>
      </c>
      <c r="CM54" s="426">
        <f t="shared" si="101"/>
        <v>0</v>
      </c>
      <c r="CN54" s="427">
        <f t="shared" si="102"/>
        <v>0</v>
      </c>
      <c r="CO54" s="419">
        <f t="shared" si="126"/>
        <v>0</v>
      </c>
      <c r="CP54" s="426">
        <f t="shared" si="104"/>
        <v>0</v>
      </c>
      <c r="CQ54" s="427">
        <f t="shared" si="105"/>
        <v>0</v>
      </c>
      <c r="CR54" s="419">
        <f t="shared" si="127"/>
        <v>0</v>
      </c>
      <c r="CS54" s="426">
        <f t="shared" si="107"/>
        <v>0</v>
      </c>
      <c r="CT54" s="427">
        <f t="shared" si="108"/>
        <v>0</v>
      </c>
      <c r="CU54" s="419">
        <f t="shared" si="128"/>
        <v>0</v>
      </c>
      <c r="CV54" s="426">
        <f t="shared" si="110"/>
        <v>0</v>
      </c>
      <c r="CW54" s="427">
        <f t="shared" si="111"/>
        <v>0</v>
      </c>
      <c r="CX54" s="419">
        <f t="shared" si="129"/>
        <v>0</v>
      </c>
    </row>
    <row r="55" spans="1:102">
      <c r="A55" s="432" t="str">
        <f>'HSZ do groszy'!A55</f>
        <v>Obligacje 2022</v>
      </c>
      <c r="B55" s="431">
        <f>ROUNDUP('HSZ do groszy'!B55,0)</f>
        <v>1267653</v>
      </c>
      <c r="C55" s="418">
        <f>ROUNDUP('HSZ do groszy'!C55,0)</f>
        <v>0</v>
      </c>
      <c r="D55" s="419">
        <f>ROUNDUP('HSZ do groszy'!D55,0)</f>
        <v>0</v>
      </c>
      <c r="E55" s="584">
        <f t="shared" si="71"/>
        <v>1267653</v>
      </c>
      <c r="F55" s="420">
        <f t="shared" si="130"/>
        <v>115035</v>
      </c>
      <c r="G55" s="418">
        <f>ROUNDUP('HSZ do groszy'!G55,0)</f>
        <v>0</v>
      </c>
      <c r="H55" s="419">
        <f>ROUNDUP('HSZ do groszy'!H55,0)</f>
        <v>0</v>
      </c>
      <c r="I55" s="418">
        <f>ROUNDUP('HSZ do groszy'!I55,0)</f>
        <v>0</v>
      </c>
      <c r="J55" s="419">
        <f>ROUNDUP('HSZ do groszy'!J55,0)</f>
        <v>0</v>
      </c>
      <c r="K55" s="421">
        <f>ROUNDUP('HSZ do groszy'!K55,0)</f>
        <v>0</v>
      </c>
      <c r="L55" s="422">
        <f>ROUNDUP('HSZ do groszy'!L55,0)</f>
        <v>0</v>
      </c>
      <c r="M55" s="418">
        <f>ROUNDUP('HSZ do groszy'!M55,0)</f>
        <v>0</v>
      </c>
      <c r="N55" s="419">
        <f>ROUNDUP('HSZ do groszy'!N55,0)</f>
        <v>0</v>
      </c>
      <c r="O55" s="421">
        <f>ROUNDUP('HSZ do groszy'!O55,0)</f>
        <v>0</v>
      </c>
      <c r="P55" s="422">
        <f>ROUNDUP('HSZ do groszy'!P55,0)</f>
        <v>0</v>
      </c>
      <c r="Q55" s="418">
        <f>ROUNDUP('HSZ do groszy'!Q55,0)</f>
        <v>0</v>
      </c>
      <c r="R55" s="419">
        <f>ROUNDUP('HSZ do groszy'!R55,0)</f>
        <v>0</v>
      </c>
      <c r="S55" s="421">
        <f>ROUNDUP('HSZ do groszy'!S55,0)</f>
        <v>0</v>
      </c>
      <c r="T55" s="422">
        <f>ROUNDUP('HSZ do groszy'!T55,0)</f>
        <v>0</v>
      </c>
      <c r="U55" s="418">
        <f>ROUNDUP('HSZ do groszy'!U55,0)</f>
        <v>0</v>
      </c>
      <c r="V55" s="419">
        <f>ROUNDUP('HSZ do groszy'!V55,0)</f>
        <v>0</v>
      </c>
      <c r="W55" s="421">
        <f>ROUNDUP('HSZ do groszy'!W55,0)</f>
        <v>0</v>
      </c>
      <c r="X55" s="422">
        <f>ROUNDUP('HSZ do groszy'!X55,0)</f>
        <v>0</v>
      </c>
      <c r="Y55" s="418">
        <f>ROUNDUP('HSZ do groszy'!Y55,0)</f>
        <v>0</v>
      </c>
      <c r="Z55" s="419">
        <f>ROUNDUP('HSZ do groszy'!Z55,0)</f>
        <v>0</v>
      </c>
      <c r="AA55" s="421">
        <f>ROUNDUP('HSZ do groszy'!AA55,0)</f>
        <v>0</v>
      </c>
      <c r="AB55" s="422">
        <f>ROUNDUP('HSZ do groszy'!AB55,0)</f>
        <v>0</v>
      </c>
      <c r="AC55" s="418">
        <f>ROUNDUP('HSZ do groszy'!AC55,0)</f>
        <v>0</v>
      </c>
      <c r="AD55" s="419">
        <f>ROUNDUP('HSZ do groszy'!AD55,0)</f>
        <v>60018</v>
      </c>
      <c r="AE55" s="421">
        <f>ROUNDUP('HSZ do groszy'!AE55,0)</f>
        <v>1267653</v>
      </c>
      <c r="AF55" s="419">
        <f>ROUNDUP('HSZ do groszy'!AF55,0)</f>
        <v>55017</v>
      </c>
      <c r="AG55" s="421">
        <f>ROUNDUP('HSZ do groszy'!AG55,0)</f>
        <v>0</v>
      </c>
      <c r="AH55" s="423">
        <f>ROUNDUP('HSZ do groszy'!AH55,0)</f>
        <v>0</v>
      </c>
      <c r="AI55" s="421">
        <f>ROUNDUP('HSZ do groszy'!AI55,0)</f>
        <v>0</v>
      </c>
      <c r="AJ55" s="423">
        <f>ROUNDUP('HSZ do groszy'!AJ55,0)</f>
        <v>0</v>
      </c>
      <c r="AK55" s="421">
        <f>ROUNDUP('HSZ do groszy'!AK55,0)</f>
        <v>0</v>
      </c>
      <c r="AL55" s="423">
        <f>ROUNDUP('HSZ do groszy'!AL55,0)</f>
        <v>0</v>
      </c>
      <c r="AM55" s="421">
        <f>ROUNDUP('HSZ do groszy'!AM55,0)</f>
        <v>0</v>
      </c>
      <c r="AN55" s="423">
        <f>ROUNDUP('HSZ do groszy'!AN55,0)</f>
        <v>0</v>
      </c>
      <c r="AO55" s="421">
        <f>ROUNDUP('HSZ do groszy'!AO55,0)</f>
        <v>0</v>
      </c>
      <c r="AP55" s="423">
        <f>ROUNDUP('HSZ do groszy'!AP55,0)</f>
        <v>0</v>
      </c>
      <c r="AQ55" s="421">
        <f>ROUNDUP('HSZ do groszy'!AQ55,0)</f>
        <v>0</v>
      </c>
      <c r="AR55" s="423">
        <f>ROUNDUP('HSZ do groszy'!AR55,0)</f>
        <v>0</v>
      </c>
      <c r="AS55" s="193"/>
      <c r="AT55" s="193"/>
      <c r="AU55" s="424"/>
      <c r="AV55" s="425"/>
      <c r="AW55" s="426"/>
      <c r="AX55" s="427"/>
      <c r="AY55" s="419"/>
      <c r="AZ55" s="426"/>
      <c r="BA55" s="427"/>
      <c r="BB55" s="419"/>
      <c r="BC55" s="426"/>
      <c r="BD55" s="427"/>
      <c r="BE55" s="419"/>
      <c r="BF55" s="426"/>
      <c r="BG55" s="427"/>
      <c r="BH55" s="419"/>
      <c r="BI55" s="426"/>
      <c r="BJ55" s="427"/>
      <c r="BK55" s="419"/>
      <c r="BL55" s="426"/>
      <c r="BM55" s="427"/>
      <c r="BN55" s="419"/>
      <c r="BO55" s="426"/>
      <c r="BP55" s="427"/>
      <c r="BQ55" s="419"/>
      <c r="BR55" s="426"/>
      <c r="BS55" s="427"/>
      <c r="BT55" s="419"/>
      <c r="BU55" s="426"/>
      <c r="BV55" s="427"/>
      <c r="BW55" s="419"/>
      <c r="BX55" s="426"/>
      <c r="BY55" s="427"/>
      <c r="BZ55" s="419"/>
      <c r="CA55" s="426">
        <f t="shared" si="89"/>
        <v>1267653</v>
      </c>
      <c r="CB55" s="427">
        <f t="shared" si="90"/>
        <v>115035</v>
      </c>
      <c r="CC55" s="419">
        <f t="shared" ref="CC55:CC57" si="131">SUM(CA55,CB55)</f>
        <v>1382688</v>
      </c>
      <c r="CD55" s="426">
        <f t="shared" si="92"/>
        <v>1267653</v>
      </c>
      <c r="CE55" s="427">
        <f t="shared" si="93"/>
        <v>55017</v>
      </c>
      <c r="CF55" s="419">
        <f t="shared" ref="CF55:CF57" si="132">SUM(CD55,CE55)</f>
        <v>1322670</v>
      </c>
      <c r="CG55" s="426">
        <f t="shared" si="95"/>
        <v>0</v>
      </c>
      <c r="CH55" s="427">
        <f t="shared" si="96"/>
        <v>0</v>
      </c>
      <c r="CI55" s="419">
        <f t="shared" ref="CI55:CI57" si="133">SUM(CG55,CH55)</f>
        <v>0</v>
      </c>
      <c r="CJ55" s="426">
        <f t="shared" si="98"/>
        <v>0</v>
      </c>
      <c r="CK55" s="427">
        <f t="shared" si="99"/>
        <v>0</v>
      </c>
      <c r="CL55" s="419">
        <f t="shared" si="125"/>
        <v>0</v>
      </c>
      <c r="CM55" s="426">
        <f t="shared" si="101"/>
        <v>0</v>
      </c>
      <c r="CN55" s="427">
        <f t="shared" si="102"/>
        <v>0</v>
      </c>
      <c r="CO55" s="419">
        <f t="shared" si="126"/>
        <v>0</v>
      </c>
      <c r="CP55" s="426">
        <f t="shared" si="104"/>
        <v>0</v>
      </c>
      <c r="CQ55" s="427">
        <f t="shared" si="105"/>
        <v>0</v>
      </c>
      <c r="CR55" s="419">
        <f t="shared" si="127"/>
        <v>0</v>
      </c>
      <c r="CS55" s="426">
        <f t="shared" si="107"/>
        <v>0</v>
      </c>
      <c r="CT55" s="427">
        <f t="shared" si="108"/>
        <v>0</v>
      </c>
      <c r="CU55" s="419">
        <f t="shared" si="128"/>
        <v>0</v>
      </c>
      <c r="CV55" s="426">
        <f t="shared" si="110"/>
        <v>0</v>
      </c>
      <c r="CW55" s="427">
        <f t="shared" si="111"/>
        <v>0</v>
      </c>
      <c r="CX55" s="419">
        <f t="shared" si="129"/>
        <v>0</v>
      </c>
    </row>
    <row r="56" spans="1:102">
      <c r="A56" s="432" t="str">
        <f>'HSZ do groszy'!A56</f>
        <v>Obligacje 2023</v>
      </c>
      <c r="B56" s="431">
        <f>ROUNDUP('HSZ do groszy'!B56,0)</f>
        <v>0</v>
      </c>
      <c r="C56" s="418">
        <f>ROUNDUP('HSZ do groszy'!C56,0)</f>
        <v>0</v>
      </c>
      <c r="D56" s="419">
        <f>ROUNDUP('HSZ do groszy'!D56,0)</f>
        <v>0</v>
      </c>
      <c r="E56" s="584">
        <f t="shared" si="71"/>
        <v>0</v>
      </c>
      <c r="F56" s="420">
        <f t="shared" si="130"/>
        <v>0</v>
      </c>
      <c r="G56" s="418">
        <f>ROUNDUP('HSZ do groszy'!G56,0)</f>
        <v>0</v>
      </c>
      <c r="H56" s="419">
        <f>ROUNDUP('HSZ do groszy'!H56,0)</f>
        <v>0</v>
      </c>
      <c r="I56" s="418">
        <f>ROUNDUP('HSZ do groszy'!I56,0)</f>
        <v>0</v>
      </c>
      <c r="J56" s="419">
        <f>ROUNDUP('HSZ do groszy'!J56,0)</f>
        <v>0</v>
      </c>
      <c r="K56" s="421">
        <f>ROUNDUP('HSZ do groszy'!K56,0)</f>
        <v>0</v>
      </c>
      <c r="L56" s="422">
        <f>ROUNDUP('HSZ do groszy'!L56,0)</f>
        <v>0</v>
      </c>
      <c r="M56" s="418">
        <f>ROUNDUP('HSZ do groszy'!M56,0)</f>
        <v>0</v>
      </c>
      <c r="N56" s="419">
        <f>ROUNDUP('HSZ do groszy'!N56,0)</f>
        <v>0</v>
      </c>
      <c r="O56" s="421">
        <f>ROUNDUP('HSZ do groszy'!O56,0)</f>
        <v>0</v>
      </c>
      <c r="P56" s="422">
        <f>ROUNDUP('HSZ do groszy'!P56,0)</f>
        <v>0</v>
      </c>
      <c r="Q56" s="418">
        <f>ROUNDUP('HSZ do groszy'!Q56,0)</f>
        <v>0</v>
      </c>
      <c r="R56" s="419">
        <f>ROUNDUP('HSZ do groszy'!R56,0)</f>
        <v>0</v>
      </c>
      <c r="S56" s="421">
        <f>ROUNDUP('HSZ do groszy'!S56,0)</f>
        <v>0</v>
      </c>
      <c r="T56" s="422">
        <f>ROUNDUP('HSZ do groszy'!T56,0)</f>
        <v>0</v>
      </c>
      <c r="U56" s="418">
        <f>ROUNDUP('HSZ do groszy'!U56,0)</f>
        <v>0</v>
      </c>
      <c r="V56" s="419">
        <f>ROUNDUP('HSZ do groszy'!V56,0)</f>
        <v>0</v>
      </c>
      <c r="W56" s="421">
        <f>ROUNDUP('HSZ do groszy'!W56,0)</f>
        <v>0</v>
      </c>
      <c r="X56" s="422">
        <f>ROUNDUP('HSZ do groszy'!X56,0)</f>
        <v>0</v>
      </c>
      <c r="Y56" s="418">
        <f>ROUNDUP('HSZ do groszy'!Y56,0)</f>
        <v>0</v>
      </c>
      <c r="Z56" s="419">
        <f>ROUNDUP('HSZ do groszy'!Z56,0)</f>
        <v>0</v>
      </c>
      <c r="AA56" s="421">
        <f>ROUNDUP('HSZ do groszy'!AA56,0)</f>
        <v>0</v>
      </c>
      <c r="AB56" s="422">
        <f>ROUNDUP('HSZ do groszy'!AB56,0)</f>
        <v>0</v>
      </c>
      <c r="AC56" s="418">
        <f>ROUNDUP('HSZ do groszy'!AC56,0)</f>
        <v>0</v>
      </c>
      <c r="AD56" s="419">
        <f>ROUNDUP('HSZ do groszy'!AD56,0)</f>
        <v>0</v>
      </c>
      <c r="AE56" s="421">
        <f>ROUNDUP('HSZ do groszy'!AE56,0)</f>
        <v>0</v>
      </c>
      <c r="AF56" s="419">
        <f>ROUNDUP('HSZ do groszy'!AF56,0)</f>
        <v>0</v>
      </c>
      <c r="AG56" s="421">
        <f>ROUNDUP('HSZ do groszy'!AG56,0)</f>
        <v>0</v>
      </c>
      <c r="AH56" s="423">
        <f>ROUNDUP('HSZ do groszy'!AH56,0)</f>
        <v>0</v>
      </c>
      <c r="AI56" s="421">
        <f>ROUNDUP('HSZ do groszy'!AI56,0)</f>
        <v>0</v>
      </c>
      <c r="AJ56" s="423">
        <f>ROUNDUP('HSZ do groszy'!AJ56,0)</f>
        <v>0</v>
      </c>
      <c r="AK56" s="421">
        <f>ROUNDUP('HSZ do groszy'!AK56,0)</f>
        <v>0</v>
      </c>
      <c r="AL56" s="423">
        <f>ROUNDUP('HSZ do groszy'!AL56,0)</f>
        <v>0</v>
      </c>
      <c r="AM56" s="421">
        <f>ROUNDUP('HSZ do groszy'!AM56,0)</f>
        <v>0</v>
      </c>
      <c r="AN56" s="423">
        <f>ROUNDUP('HSZ do groszy'!AN56,0)</f>
        <v>0</v>
      </c>
      <c r="AO56" s="421">
        <f>ROUNDUP('HSZ do groszy'!AO56,0)</f>
        <v>0</v>
      </c>
      <c r="AP56" s="423">
        <f>ROUNDUP('HSZ do groszy'!AP56,0)</f>
        <v>0</v>
      </c>
      <c r="AQ56" s="421">
        <f>ROUNDUP('HSZ do groszy'!AQ56,0)</f>
        <v>0</v>
      </c>
      <c r="AR56" s="423">
        <f>ROUNDUP('HSZ do groszy'!AR56,0)</f>
        <v>0</v>
      </c>
      <c r="AS56" s="193"/>
      <c r="AT56" s="193"/>
      <c r="AU56" s="424"/>
      <c r="AV56" s="425"/>
      <c r="AW56" s="426"/>
      <c r="AX56" s="427"/>
      <c r="AY56" s="419"/>
      <c r="AZ56" s="426"/>
      <c r="BA56" s="427"/>
      <c r="BB56" s="419"/>
      <c r="BC56" s="426"/>
      <c r="BD56" s="427"/>
      <c r="BE56" s="419"/>
      <c r="BF56" s="426"/>
      <c r="BG56" s="427"/>
      <c r="BH56" s="419"/>
      <c r="BI56" s="426"/>
      <c r="BJ56" s="427"/>
      <c r="BK56" s="419"/>
      <c r="BL56" s="426"/>
      <c r="BM56" s="427"/>
      <c r="BN56" s="419"/>
      <c r="BO56" s="426"/>
      <c r="BP56" s="427"/>
      <c r="BQ56" s="419"/>
      <c r="BR56" s="426"/>
      <c r="BS56" s="427"/>
      <c r="BT56" s="419"/>
      <c r="BU56" s="426"/>
      <c r="BV56" s="427"/>
      <c r="BW56" s="419"/>
      <c r="BX56" s="426"/>
      <c r="BY56" s="427"/>
      <c r="BZ56" s="419"/>
      <c r="CA56" s="426">
        <v>0</v>
      </c>
      <c r="CB56" s="427">
        <v>0</v>
      </c>
      <c r="CC56" s="419">
        <f t="shared" si="131"/>
        <v>0</v>
      </c>
      <c r="CD56" s="426">
        <f t="shared" si="92"/>
        <v>0</v>
      </c>
      <c r="CE56" s="427">
        <f t="shared" si="93"/>
        <v>0</v>
      </c>
      <c r="CF56" s="419">
        <f t="shared" si="132"/>
        <v>0</v>
      </c>
      <c r="CG56" s="426">
        <f t="shared" si="95"/>
        <v>0</v>
      </c>
      <c r="CH56" s="427">
        <f t="shared" si="96"/>
        <v>0</v>
      </c>
      <c r="CI56" s="419">
        <f t="shared" si="133"/>
        <v>0</v>
      </c>
      <c r="CJ56" s="426">
        <f t="shared" si="98"/>
        <v>0</v>
      </c>
      <c r="CK56" s="427">
        <f t="shared" si="99"/>
        <v>0</v>
      </c>
      <c r="CL56" s="419">
        <f t="shared" si="125"/>
        <v>0</v>
      </c>
      <c r="CM56" s="426">
        <f t="shared" si="101"/>
        <v>0</v>
      </c>
      <c r="CN56" s="427">
        <f t="shared" si="102"/>
        <v>0</v>
      </c>
      <c r="CO56" s="419">
        <f t="shared" si="126"/>
        <v>0</v>
      </c>
      <c r="CP56" s="426">
        <f t="shared" si="104"/>
        <v>0</v>
      </c>
      <c r="CQ56" s="427">
        <f t="shared" si="105"/>
        <v>0</v>
      </c>
      <c r="CR56" s="419">
        <f t="shared" si="127"/>
        <v>0</v>
      </c>
      <c r="CS56" s="426">
        <f t="shared" si="107"/>
        <v>0</v>
      </c>
      <c r="CT56" s="427">
        <f t="shared" si="108"/>
        <v>0</v>
      </c>
      <c r="CU56" s="419">
        <f t="shared" si="128"/>
        <v>0</v>
      </c>
      <c r="CV56" s="426">
        <f t="shared" si="110"/>
        <v>0</v>
      </c>
      <c r="CW56" s="427">
        <f t="shared" si="111"/>
        <v>0</v>
      </c>
      <c r="CX56" s="419">
        <f t="shared" si="129"/>
        <v>0</v>
      </c>
    </row>
    <row r="57" spans="1:102">
      <c r="A57" s="432" t="str">
        <f>'HSZ do groszy'!A57</f>
        <v>Obligacje inwestycje</v>
      </c>
      <c r="B57" s="431">
        <f>ROUNDUP('HSZ do groszy'!B57,0)</f>
        <v>0</v>
      </c>
      <c r="C57" s="418">
        <f>ROUNDUP('HSZ do groszy'!C57,0)</f>
        <v>0</v>
      </c>
      <c r="D57" s="419">
        <f>ROUNDUP('HSZ do groszy'!D57,0)</f>
        <v>0</v>
      </c>
      <c r="E57" s="584">
        <f t="shared" si="71"/>
        <v>0</v>
      </c>
      <c r="F57" s="420">
        <f t="shared" si="130"/>
        <v>0</v>
      </c>
      <c r="G57" s="418">
        <f>ROUNDUP('HSZ do groszy'!G57,0)</f>
        <v>0</v>
      </c>
      <c r="H57" s="419">
        <f>ROUNDUP('HSZ do groszy'!H57,0)</f>
        <v>0</v>
      </c>
      <c r="I57" s="418">
        <f>ROUNDUP('HSZ do groszy'!I57,0)</f>
        <v>0</v>
      </c>
      <c r="J57" s="419">
        <f>ROUNDUP('HSZ do groszy'!J57,0)</f>
        <v>0</v>
      </c>
      <c r="K57" s="421">
        <f>ROUNDUP('HSZ do groszy'!K57,0)</f>
        <v>0</v>
      </c>
      <c r="L57" s="422">
        <f>ROUNDUP('HSZ do groszy'!L57,0)</f>
        <v>0</v>
      </c>
      <c r="M57" s="418">
        <f>ROUNDUP('HSZ do groszy'!M57,0)</f>
        <v>0</v>
      </c>
      <c r="N57" s="419">
        <f>ROUNDUP('HSZ do groszy'!N57,0)</f>
        <v>0</v>
      </c>
      <c r="O57" s="421">
        <f>ROUNDUP('HSZ do groszy'!O57,0)</f>
        <v>0</v>
      </c>
      <c r="P57" s="422">
        <f>ROUNDUP('HSZ do groszy'!P57,0)</f>
        <v>0</v>
      </c>
      <c r="Q57" s="418">
        <f>ROUNDUP('HSZ do groszy'!Q57,0)</f>
        <v>0</v>
      </c>
      <c r="R57" s="419">
        <f>ROUNDUP('HSZ do groszy'!R57,0)</f>
        <v>0</v>
      </c>
      <c r="S57" s="421">
        <f>ROUNDUP('HSZ do groszy'!S57,0)</f>
        <v>0</v>
      </c>
      <c r="T57" s="422">
        <f>ROUNDUP('HSZ do groszy'!T57,0)</f>
        <v>0</v>
      </c>
      <c r="U57" s="418">
        <f>ROUNDUP('HSZ do groszy'!U57,0)</f>
        <v>0</v>
      </c>
      <c r="V57" s="419">
        <f>ROUNDUP('HSZ do groszy'!V57,0)</f>
        <v>0</v>
      </c>
      <c r="W57" s="421">
        <f>ROUNDUP('HSZ do groszy'!W57,0)</f>
        <v>0</v>
      </c>
      <c r="X57" s="422">
        <f>ROUNDUP('HSZ do groszy'!X57,0)</f>
        <v>0</v>
      </c>
      <c r="Y57" s="418">
        <f>ROUNDUP('HSZ do groszy'!Y57,0)</f>
        <v>0</v>
      </c>
      <c r="Z57" s="419">
        <f>ROUNDUP('HSZ do groszy'!Z57,0)</f>
        <v>0</v>
      </c>
      <c r="AA57" s="421">
        <f>ROUNDUP('HSZ do groszy'!AA57,0)</f>
        <v>0</v>
      </c>
      <c r="AB57" s="422">
        <f>ROUNDUP('HSZ do groszy'!AB57,0)</f>
        <v>0</v>
      </c>
      <c r="AC57" s="418">
        <f>ROUNDUP('HSZ do groszy'!AC57,0)</f>
        <v>0</v>
      </c>
      <c r="AD57" s="419">
        <f>ROUNDUP('HSZ do groszy'!AD57,0)</f>
        <v>0</v>
      </c>
      <c r="AE57" s="421">
        <f>ROUNDUP('HSZ do groszy'!AE57,0)</f>
        <v>0</v>
      </c>
      <c r="AF57" s="419">
        <f>ROUNDUP('HSZ do groszy'!AF57,0)</f>
        <v>0</v>
      </c>
      <c r="AG57" s="421">
        <f>ROUNDUP('HSZ do groszy'!AG57,0)</f>
        <v>0</v>
      </c>
      <c r="AH57" s="423">
        <f>ROUNDUP('HSZ do groszy'!AH57,0)</f>
        <v>0</v>
      </c>
      <c r="AI57" s="421">
        <f>ROUNDUP('HSZ do groszy'!AI57,0)</f>
        <v>0</v>
      </c>
      <c r="AJ57" s="423">
        <f>ROUNDUP('HSZ do groszy'!AJ57,0)</f>
        <v>0</v>
      </c>
      <c r="AK57" s="421">
        <f>ROUNDUP('HSZ do groszy'!AK57,0)</f>
        <v>0</v>
      </c>
      <c r="AL57" s="423">
        <f>ROUNDUP('HSZ do groszy'!AL57,0)</f>
        <v>0</v>
      </c>
      <c r="AM57" s="421">
        <f>ROUNDUP('HSZ do groszy'!AM57,0)</f>
        <v>0</v>
      </c>
      <c r="AN57" s="423">
        <f>ROUNDUP('HSZ do groszy'!AN57,0)</f>
        <v>0</v>
      </c>
      <c r="AO57" s="421">
        <f>ROUNDUP('HSZ do groszy'!AO57,0)</f>
        <v>0</v>
      </c>
      <c r="AP57" s="423">
        <f>ROUNDUP('HSZ do groszy'!AP57,0)</f>
        <v>0</v>
      </c>
      <c r="AQ57" s="421">
        <f>ROUNDUP('HSZ do groszy'!AQ57,0)</f>
        <v>0</v>
      </c>
      <c r="AR57" s="423">
        <f>ROUNDUP('HSZ do groszy'!AR57,0)</f>
        <v>0</v>
      </c>
      <c r="AS57" s="193"/>
      <c r="AT57" s="193"/>
      <c r="AU57" s="424"/>
      <c r="AV57" s="425"/>
      <c r="AW57" s="426"/>
      <c r="AX57" s="427"/>
      <c r="AY57" s="419"/>
      <c r="AZ57" s="426"/>
      <c r="BA57" s="427"/>
      <c r="BB57" s="419"/>
      <c r="BC57" s="426"/>
      <c r="BD57" s="427"/>
      <c r="BE57" s="419"/>
      <c r="BF57" s="426"/>
      <c r="BG57" s="427"/>
      <c r="BH57" s="419"/>
      <c r="BI57" s="426"/>
      <c r="BJ57" s="427"/>
      <c r="BK57" s="419"/>
      <c r="BL57" s="426"/>
      <c r="BM57" s="427"/>
      <c r="BN57" s="419"/>
      <c r="BO57" s="426"/>
      <c r="BP57" s="427"/>
      <c r="BQ57" s="419"/>
      <c r="BR57" s="426"/>
      <c r="BS57" s="427"/>
      <c r="BT57" s="419"/>
      <c r="BU57" s="426"/>
      <c r="BV57" s="427"/>
      <c r="BW57" s="419"/>
      <c r="BX57" s="426"/>
      <c r="BY57" s="427"/>
      <c r="BZ57" s="419"/>
      <c r="CA57" s="426">
        <f t="shared" si="89"/>
        <v>0</v>
      </c>
      <c r="CB57" s="427">
        <f t="shared" si="90"/>
        <v>0</v>
      </c>
      <c r="CC57" s="419">
        <f t="shared" si="131"/>
        <v>0</v>
      </c>
      <c r="CD57" s="426">
        <f t="shared" si="92"/>
        <v>0</v>
      </c>
      <c r="CE57" s="427">
        <f t="shared" si="93"/>
        <v>0</v>
      </c>
      <c r="CF57" s="419">
        <f t="shared" si="132"/>
        <v>0</v>
      </c>
      <c r="CG57" s="426">
        <f t="shared" si="95"/>
        <v>0</v>
      </c>
      <c r="CH57" s="427">
        <f t="shared" si="96"/>
        <v>0</v>
      </c>
      <c r="CI57" s="419">
        <f t="shared" si="133"/>
        <v>0</v>
      </c>
      <c r="CJ57" s="426">
        <f t="shared" si="98"/>
        <v>0</v>
      </c>
      <c r="CK57" s="427">
        <f t="shared" si="99"/>
        <v>0</v>
      </c>
      <c r="CL57" s="419">
        <f t="shared" si="125"/>
        <v>0</v>
      </c>
      <c r="CM57" s="426">
        <f t="shared" si="101"/>
        <v>0</v>
      </c>
      <c r="CN57" s="427">
        <f t="shared" si="102"/>
        <v>0</v>
      </c>
      <c r="CO57" s="419">
        <f t="shared" si="126"/>
        <v>0</v>
      </c>
      <c r="CP57" s="426">
        <f t="shared" si="104"/>
        <v>0</v>
      </c>
      <c r="CQ57" s="427">
        <f t="shared" si="105"/>
        <v>0</v>
      </c>
      <c r="CR57" s="419">
        <f t="shared" si="127"/>
        <v>0</v>
      </c>
      <c r="CS57" s="426">
        <f t="shared" si="107"/>
        <v>0</v>
      </c>
      <c r="CT57" s="427">
        <f t="shared" si="108"/>
        <v>0</v>
      </c>
      <c r="CU57" s="419">
        <f t="shared" si="128"/>
        <v>0</v>
      </c>
      <c r="CV57" s="426">
        <f t="shared" si="110"/>
        <v>0</v>
      </c>
      <c r="CW57" s="427">
        <f t="shared" si="111"/>
        <v>0</v>
      </c>
      <c r="CX57" s="419">
        <f t="shared" si="129"/>
        <v>0</v>
      </c>
    </row>
    <row r="58" spans="1:102">
      <c r="A58" s="432"/>
      <c r="B58" s="431"/>
      <c r="C58" s="418"/>
      <c r="D58" s="422"/>
      <c r="E58" s="585"/>
      <c r="F58" s="584"/>
      <c r="G58" s="418"/>
      <c r="H58" s="419"/>
      <c r="I58" s="421"/>
      <c r="J58" s="419"/>
      <c r="K58" s="421"/>
      <c r="L58" s="419"/>
      <c r="M58" s="421"/>
      <c r="N58" s="419"/>
      <c r="O58" s="421"/>
      <c r="P58" s="419"/>
      <c r="Q58" s="421"/>
      <c r="R58" s="419"/>
      <c r="S58" s="421"/>
      <c r="T58" s="419"/>
      <c r="U58" s="421"/>
      <c r="V58" s="419"/>
      <c r="W58" s="421"/>
      <c r="X58" s="419"/>
      <c r="Y58" s="421"/>
      <c r="Z58" s="419"/>
      <c r="AA58" s="421"/>
      <c r="AB58" s="419"/>
      <c r="AC58" s="418"/>
      <c r="AD58" s="419"/>
      <c r="AE58" s="421"/>
      <c r="AF58" s="419"/>
      <c r="AG58" s="421"/>
      <c r="AH58" s="419"/>
      <c r="AI58" s="421"/>
      <c r="AJ58" s="419"/>
      <c r="AK58" s="421"/>
      <c r="AL58" s="419"/>
      <c r="AM58" s="421"/>
      <c r="AN58" s="419"/>
      <c r="AO58" s="421"/>
      <c r="AP58" s="419"/>
      <c r="AQ58" s="421"/>
      <c r="AR58" s="419"/>
      <c r="AS58" s="193"/>
      <c r="AT58" s="193"/>
      <c r="AU58" s="424"/>
      <c r="AV58" s="425"/>
      <c r="AW58" s="426"/>
      <c r="AX58" s="427"/>
      <c r="AY58" s="419"/>
      <c r="AZ58" s="426"/>
      <c r="BA58" s="427"/>
      <c r="BB58" s="419"/>
      <c r="BC58" s="426"/>
      <c r="BD58" s="427"/>
      <c r="BE58" s="419"/>
      <c r="BF58" s="426"/>
      <c r="BG58" s="427"/>
      <c r="BH58" s="419"/>
      <c r="BI58" s="426"/>
      <c r="BJ58" s="427"/>
      <c r="BK58" s="419"/>
      <c r="BL58" s="426"/>
      <c r="BM58" s="427"/>
      <c r="BN58" s="419"/>
      <c r="BO58" s="426"/>
      <c r="BP58" s="427"/>
      <c r="BQ58" s="419"/>
      <c r="BR58" s="426"/>
      <c r="BS58" s="427"/>
      <c r="BT58" s="419"/>
      <c r="BU58" s="426"/>
      <c r="BV58" s="427"/>
      <c r="BW58" s="419"/>
      <c r="BX58" s="426"/>
      <c r="BY58" s="427"/>
      <c r="BZ58" s="419"/>
      <c r="CA58" s="426"/>
      <c r="CB58" s="427"/>
      <c r="CC58" s="419"/>
      <c r="CD58" s="426"/>
      <c r="CE58" s="427"/>
      <c r="CF58" s="419"/>
      <c r="CG58" s="426"/>
      <c r="CH58" s="427"/>
      <c r="CI58" s="419"/>
      <c r="CJ58" s="426"/>
      <c r="CK58" s="427"/>
      <c r="CL58" s="419"/>
      <c r="CM58" s="426"/>
      <c r="CN58" s="427"/>
      <c r="CO58" s="419"/>
      <c r="CP58" s="426"/>
      <c r="CQ58" s="427"/>
      <c r="CR58" s="419"/>
      <c r="CS58" s="426"/>
      <c r="CT58" s="427"/>
      <c r="CU58" s="419"/>
      <c r="CV58" s="426"/>
      <c r="CW58" s="427"/>
      <c r="CX58" s="419"/>
    </row>
    <row r="59" spans="1:102" s="562" customFormat="1">
      <c r="A59" s="571" t="s">
        <v>335</v>
      </c>
      <c r="B59" s="572"/>
      <c r="C59" s="573"/>
      <c r="D59" s="577"/>
      <c r="E59" s="587"/>
      <c r="F59" s="586"/>
      <c r="G59" s="573">
        <f>SUM(G44:G57)</f>
        <v>0</v>
      </c>
      <c r="H59" s="574">
        <f t="shared" ref="H59" si="134">SUM(H44:H57)</f>
        <v>0</v>
      </c>
      <c r="I59" s="576">
        <f>SUM(I46:I57)</f>
        <v>0</v>
      </c>
      <c r="J59" s="576">
        <f t="shared" ref="J59:AH59" si="135">SUM(J46:J57)</f>
        <v>0</v>
      </c>
      <c r="K59" s="576">
        <f t="shared" si="135"/>
        <v>0</v>
      </c>
      <c r="L59" s="576">
        <f t="shared" si="135"/>
        <v>535004</v>
      </c>
      <c r="M59" s="576">
        <f t="shared" si="135"/>
        <v>0</v>
      </c>
      <c r="N59" s="576">
        <f t="shared" si="135"/>
        <v>535004</v>
      </c>
      <c r="O59" s="576">
        <f t="shared" si="135"/>
        <v>0</v>
      </c>
      <c r="P59" s="576">
        <f t="shared" si="135"/>
        <v>535004</v>
      </c>
      <c r="Q59" s="576">
        <f t="shared" si="135"/>
        <v>0</v>
      </c>
      <c r="R59" s="576">
        <f t="shared" si="135"/>
        <v>535004</v>
      </c>
      <c r="S59" s="576">
        <f t="shared" si="135"/>
        <v>0</v>
      </c>
      <c r="T59" s="576">
        <f t="shared" si="135"/>
        <v>546528</v>
      </c>
      <c r="U59" s="576">
        <f t="shared" si="135"/>
        <v>0</v>
      </c>
      <c r="V59" s="576">
        <f t="shared" si="135"/>
        <v>550904</v>
      </c>
      <c r="W59" s="576">
        <f t="shared" si="135"/>
        <v>1300000</v>
      </c>
      <c r="X59" s="576">
        <f t="shared" si="135"/>
        <v>588178</v>
      </c>
      <c r="Y59" s="576">
        <f t="shared" si="135"/>
        <v>4243402</v>
      </c>
      <c r="Z59" s="576">
        <f t="shared" si="135"/>
        <v>515016</v>
      </c>
      <c r="AA59" s="576">
        <f t="shared" si="135"/>
        <v>6092407</v>
      </c>
      <c r="AB59" s="576">
        <f t="shared" si="135"/>
        <v>306815</v>
      </c>
      <c r="AC59" s="576">
        <f t="shared" si="135"/>
        <v>895589</v>
      </c>
      <c r="AD59" s="576">
        <f t="shared" si="135"/>
        <v>98887</v>
      </c>
      <c r="AE59" s="576">
        <f t="shared" si="135"/>
        <v>1267653</v>
      </c>
      <c r="AF59" s="576">
        <f t="shared" si="135"/>
        <v>55017</v>
      </c>
      <c r="AG59" s="576">
        <f t="shared" si="135"/>
        <v>0</v>
      </c>
      <c r="AH59" s="576">
        <f t="shared" si="135"/>
        <v>0</v>
      </c>
      <c r="AI59" s="576">
        <f t="shared" ref="AI59:AR59" si="136">SUM(AI46:AI57)</f>
        <v>0</v>
      </c>
      <c r="AJ59" s="576">
        <f t="shared" si="136"/>
        <v>0</v>
      </c>
      <c r="AK59" s="576">
        <f t="shared" si="136"/>
        <v>0</v>
      </c>
      <c r="AL59" s="576">
        <f t="shared" si="136"/>
        <v>0</v>
      </c>
      <c r="AM59" s="576">
        <f t="shared" si="136"/>
        <v>0</v>
      </c>
      <c r="AN59" s="576">
        <f t="shared" si="136"/>
        <v>0</v>
      </c>
      <c r="AO59" s="576">
        <f t="shared" si="136"/>
        <v>0</v>
      </c>
      <c r="AP59" s="576">
        <f t="shared" si="136"/>
        <v>0</v>
      </c>
      <c r="AQ59" s="576">
        <f t="shared" si="136"/>
        <v>0</v>
      </c>
      <c r="AR59" s="576">
        <f t="shared" si="136"/>
        <v>0</v>
      </c>
      <c r="AS59" s="579"/>
      <c r="AT59" s="579"/>
      <c r="AU59" s="580"/>
      <c r="AV59" s="581"/>
      <c r="AW59" s="582"/>
      <c r="AX59" s="583"/>
      <c r="AY59" s="574"/>
      <c r="AZ59" s="582"/>
      <c r="BA59" s="583"/>
      <c r="BB59" s="574"/>
      <c r="BC59" s="582"/>
      <c r="BD59" s="583"/>
      <c r="BE59" s="574"/>
      <c r="BF59" s="582"/>
      <c r="BG59" s="583"/>
      <c r="BH59" s="574"/>
      <c r="BI59" s="582"/>
      <c r="BJ59" s="583"/>
      <c r="BK59" s="574"/>
      <c r="BL59" s="582"/>
      <c r="BM59" s="583"/>
      <c r="BN59" s="574"/>
      <c r="BO59" s="582"/>
      <c r="BP59" s="583"/>
      <c r="BQ59" s="574"/>
      <c r="BR59" s="582"/>
      <c r="BS59" s="583"/>
      <c r="BT59" s="574"/>
      <c r="BU59" s="582"/>
      <c r="BV59" s="583"/>
      <c r="BW59" s="574"/>
      <c r="BX59" s="582"/>
      <c r="BY59" s="583"/>
      <c r="BZ59" s="574"/>
      <c r="CA59" s="582"/>
      <c r="CB59" s="583"/>
      <c r="CC59" s="574"/>
      <c r="CD59" s="582"/>
      <c r="CE59" s="583"/>
      <c r="CF59" s="574"/>
      <c r="CG59" s="582"/>
      <c r="CH59" s="583"/>
      <c r="CI59" s="574"/>
      <c r="CJ59" s="582"/>
      <c r="CK59" s="583"/>
      <c r="CL59" s="574"/>
      <c r="CM59" s="582"/>
      <c r="CN59" s="583"/>
      <c r="CO59" s="574"/>
      <c r="CP59" s="582"/>
      <c r="CQ59" s="583"/>
      <c r="CR59" s="574"/>
      <c r="CS59" s="582"/>
      <c r="CT59" s="583"/>
      <c r="CU59" s="574"/>
      <c r="CV59" s="582"/>
      <c r="CW59" s="583"/>
      <c r="CX59" s="574"/>
    </row>
    <row r="60" spans="1:102">
      <c r="A60" s="432"/>
      <c r="B60" s="431"/>
      <c r="C60" s="418"/>
      <c r="D60" s="422"/>
      <c r="E60" s="585"/>
      <c r="F60" s="584"/>
      <c r="G60" s="418"/>
      <c r="H60" s="419"/>
      <c r="I60" s="421"/>
      <c r="J60" s="419"/>
      <c r="K60" s="421"/>
      <c r="L60" s="419"/>
      <c r="M60" s="421"/>
      <c r="N60" s="419"/>
      <c r="O60" s="421"/>
      <c r="P60" s="419"/>
      <c r="Q60" s="421"/>
      <c r="R60" s="419"/>
      <c r="S60" s="421"/>
      <c r="T60" s="419"/>
      <c r="U60" s="421"/>
      <c r="V60" s="419"/>
      <c r="W60" s="421"/>
      <c r="X60" s="419"/>
      <c r="Y60" s="421"/>
      <c r="Z60" s="419"/>
      <c r="AA60" s="421"/>
      <c r="AB60" s="419"/>
      <c r="AC60" s="418"/>
      <c r="AD60" s="419"/>
      <c r="AE60" s="421"/>
      <c r="AF60" s="419"/>
      <c r="AG60" s="421"/>
      <c r="AH60" s="419"/>
      <c r="AI60" s="421"/>
      <c r="AJ60" s="419"/>
      <c r="AK60" s="421"/>
      <c r="AL60" s="419"/>
      <c r="AM60" s="421"/>
      <c r="AN60" s="419"/>
      <c r="AO60" s="421"/>
      <c r="AP60" s="419"/>
      <c r="AQ60" s="421"/>
      <c r="AR60" s="419"/>
      <c r="AS60" s="193"/>
      <c r="AT60" s="193"/>
      <c r="AU60" s="424"/>
      <c r="AV60" s="425"/>
      <c r="AW60" s="426"/>
      <c r="AX60" s="427"/>
      <c r="AY60" s="419"/>
      <c r="AZ60" s="426"/>
      <c r="BA60" s="427"/>
      <c r="BB60" s="419"/>
      <c r="BC60" s="426"/>
      <c r="BD60" s="427"/>
      <c r="BE60" s="419"/>
      <c r="BF60" s="426"/>
      <c r="BG60" s="427"/>
      <c r="BH60" s="419"/>
      <c r="BI60" s="426"/>
      <c r="BJ60" s="427"/>
      <c r="BK60" s="419"/>
      <c r="BL60" s="426"/>
      <c r="BM60" s="427"/>
      <c r="BN60" s="419"/>
      <c r="BO60" s="426"/>
      <c r="BP60" s="427"/>
      <c r="BQ60" s="419"/>
      <c r="BR60" s="426"/>
      <c r="BS60" s="427"/>
      <c r="BT60" s="419"/>
      <c r="BU60" s="426"/>
      <c r="BV60" s="427"/>
      <c r="BW60" s="419"/>
      <c r="BX60" s="426"/>
      <c r="BY60" s="427"/>
      <c r="BZ60" s="419"/>
      <c r="CA60" s="426"/>
      <c r="CB60" s="427"/>
      <c r="CC60" s="419"/>
      <c r="CD60" s="426"/>
      <c r="CE60" s="427"/>
      <c r="CF60" s="419"/>
      <c r="CG60" s="426"/>
      <c r="CH60" s="427"/>
      <c r="CI60" s="419"/>
      <c r="CJ60" s="426"/>
      <c r="CK60" s="427"/>
      <c r="CL60" s="419"/>
      <c r="CM60" s="426"/>
      <c r="CN60" s="427"/>
      <c r="CO60" s="419"/>
      <c r="CP60" s="426"/>
      <c r="CQ60" s="427"/>
      <c r="CR60" s="419"/>
      <c r="CS60" s="426"/>
      <c r="CT60" s="427"/>
      <c r="CU60" s="419"/>
      <c r="CV60" s="426"/>
      <c r="CW60" s="427"/>
      <c r="CX60" s="419"/>
    </row>
    <row r="61" spans="1:102" ht="13.5" thickBot="1">
      <c r="A61" s="433" t="s">
        <v>295</v>
      </c>
      <c r="B61" s="434">
        <f>SUM(B36:B38)</f>
        <v>23750000</v>
      </c>
      <c r="C61" s="435">
        <f t="shared" ref="C61:F61" si="137">SUM(C36:C54)</f>
        <v>3550000</v>
      </c>
      <c r="D61" s="436">
        <f t="shared" si="137"/>
        <v>1724436</v>
      </c>
      <c r="E61" s="435">
        <f t="shared" si="137"/>
        <v>64731398</v>
      </c>
      <c r="F61" s="436">
        <f t="shared" si="137"/>
        <v>18014571</v>
      </c>
      <c r="G61" s="435">
        <f>G42+G44+G59</f>
        <v>6300000</v>
      </c>
      <c r="H61" s="436">
        <f t="shared" ref="H61:AH61" si="138">H42+H44+H59</f>
        <v>2096896</v>
      </c>
      <c r="I61" s="435">
        <f t="shared" si="138"/>
        <v>9500000</v>
      </c>
      <c r="J61" s="436">
        <f t="shared" si="138"/>
        <v>2643819</v>
      </c>
      <c r="K61" s="435">
        <f t="shared" si="138"/>
        <v>3500000</v>
      </c>
      <c r="L61" s="436">
        <f t="shared" si="138"/>
        <v>2641266</v>
      </c>
      <c r="M61" s="365">
        <f t="shared" si="138"/>
        <v>3900000</v>
      </c>
      <c r="N61" s="367">
        <f t="shared" si="138"/>
        <v>2387525</v>
      </c>
      <c r="O61" s="435">
        <f t="shared" si="138"/>
        <v>6000000</v>
      </c>
      <c r="P61" s="436">
        <f t="shared" si="138"/>
        <v>2079865</v>
      </c>
      <c r="Q61" s="435">
        <f t="shared" si="138"/>
        <v>6000000</v>
      </c>
      <c r="R61" s="436">
        <f t="shared" si="138"/>
        <v>1821916</v>
      </c>
      <c r="S61" s="435">
        <f t="shared" si="138"/>
        <v>6000000</v>
      </c>
      <c r="T61" s="436">
        <f t="shared" si="138"/>
        <v>1477426</v>
      </c>
      <c r="U61" s="435">
        <f t="shared" si="138"/>
        <v>7000000</v>
      </c>
      <c r="V61" s="436">
        <f t="shared" si="138"/>
        <v>1183347</v>
      </c>
      <c r="W61" s="435">
        <f t="shared" si="138"/>
        <v>5300000</v>
      </c>
      <c r="X61" s="436">
        <f t="shared" si="138"/>
        <v>821811</v>
      </c>
      <c r="Y61" s="435">
        <f t="shared" si="138"/>
        <v>4243402</v>
      </c>
      <c r="Z61" s="436">
        <f t="shared" si="138"/>
        <v>515016</v>
      </c>
      <c r="AA61" s="435">
        <f t="shared" si="138"/>
        <v>6092407</v>
      </c>
      <c r="AB61" s="436">
        <f t="shared" si="138"/>
        <v>306815</v>
      </c>
      <c r="AC61" s="365">
        <f t="shared" si="138"/>
        <v>895589</v>
      </c>
      <c r="AD61" s="367">
        <f t="shared" si="138"/>
        <v>98887</v>
      </c>
      <c r="AE61" s="435">
        <f t="shared" si="138"/>
        <v>1267653</v>
      </c>
      <c r="AF61" s="367">
        <f t="shared" si="138"/>
        <v>55017</v>
      </c>
      <c r="AG61" s="435">
        <f t="shared" si="138"/>
        <v>0</v>
      </c>
      <c r="AH61" s="437">
        <f t="shared" si="138"/>
        <v>0</v>
      </c>
      <c r="AI61" s="774">
        <f t="shared" ref="AI61:AR61" si="139">AI42+AI44+AI59</f>
        <v>0</v>
      </c>
      <c r="AJ61" s="437">
        <f t="shared" si="139"/>
        <v>0</v>
      </c>
      <c r="AK61" s="774">
        <f t="shared" si="139"/>
        <v>0</v>
      </c>
      <c r="AL61" s="437">
        <f t="shared" si="139"/>
        <v>0</v>
      </c>
      <c r="AM61" s="774">
        <f t="shared" si="139"/>
        <v>0</v>
      </c>
      <c r="AN61" s="437">
        <f t="shared" si="139"/>
        <v>0</v>
      </c>
      <c r="AO61" s="774">
        <f t="shared" si="139"/>
        <v>0</v>
      </c>
      <c r="AP61" s="437">
        <f t="shared" si="139"/>
        <v>0</v>
      </c>
      <c r="AQ61" s="774">
        <f t="shared" si="139"/>
        <v>0</v>
      </c>
      <c r="AR61" s="437">
        <f t="shared" si="139"/>
        <v>0</v>
      </c>
      <c r="AS61" s="193"/>
      <c r="AT61" s="193"/>
      <c r="AU61" s="363"/>
      <c r="AV61" s="392">
        <f>SUM(AV36:AV38)</f>
        <v>23750000</v>
      </c>
      <c r="AW61" s="365">
        <f>SUM(AW36:AW57)</f>
        <v>45900000</v>
      </c>
      <c r="AX61" s="366">
        <f t="shared" ref="AX61:CI61" si="140">SUM(AX36:AX57)</f>
        <v>11231349</v>
      </c>
      <c r="AY61" s="393">
        <f t="shared" si="140"/>
        <v>57131349</v>
      </c>
      <c r="AZ61" s="365">
        <f t="shared" si="140"/>
        <v>47700000</v>
      </c>
      <c r="BA61" s="366">
        <f t="shared" si="140"/>
        <v>13045503</v>
      </c>
      <c r="BB61" s="393">
        <f t="shared" si="140"/>
        <v>60745503</v>
      </c>
      <c r="BC61" s="365">
        <f t="shared" si="140"/>
        <v>44200000</v>
      </c>
      <c r="BD61" s="366">
        <f t="shared" si="140"/>
        <v>10404237</v>
      </c>
      <c r="BE61" s="393">
        <f t="shared" si="140"/>
        <v>54604237</v>
      </c>
      <c r="BF61" s="365">
        <f t="shared" si="140"/>
        <v>40300000</v>
      </c>
      <c r="BG61" s="366">
        <f t="shared" si="140"/>
        <v>8016712</v>
      </c>
      <c r="BH61" s="393">
        <f t="shared" si="140"/>
        <v>48316712</v>
      </c>
      <c r="BI61" s="365">
        <f t="shared" si="140"/>
        <v>34300000</v>
      </c>
      <c r="BJ61" s="366">
        <f t="shared" si="140"/>
        <v>5936847</v>
      </c>
      <c r="BK61" s="393">
        <f t="shared" si="140"/>
        <v>40236847</v>
      </c>
      <c r="BL61" s="365">
        <f t="shared" si="140"/>
        <v>28543402</v>
      </c>
      <c r="BM61" s="366">
        <f t="shared" si="140"/>
        <v>4160067</v>
      </c>
      <c r="BN61" s="393">
        <f t="shared" si="140"/>
        <v>32703469</v>
      </c>
      <c r="BO61" s="365">
        <f t="shared" si="140"/>
        <v>22635809</v>
      </c>
      <c r="BP61" s="366">
        <f t="shared" si="140"/>
        <v>2699780</v>
      </c>
      <c r="BQ61" s="393">
        <f t="shared" si="140"/>
        <v>25335589</v>
      </c>
      <c r="BR61" s="365">
        <f t="shared" si="140"/>
        <v>16531398</v>
      </c>
      <c r="BS61" s="366">
        <f t="shared" si="140"/>
        <v>1682511</v>
      </c>
      <c r="BT61" s="393">
        <f t="shared" si="140"/>
        <v>18213909</v>
      </c>
      <c r="BU61" s="365">
        <f t="shared" si="140"/>
        <v>11231398</v>
      </c>
      <c r="BV61" s="366">
        <f t="shared" si="140"/>
        <v>860700</v>
      </c>
      <c r="BW61" s="393">
        <f t="shared" si="140"/>
        <v>12092098</v>
      </c>
      <c r="BX61" s="365">
        <f t="shared" si="140"/>
        <v>6987996</v>
      </c>
      <c r="BY61" s="366">
        <f t="shared" si="140"/>
        <v>345684</v>
      </c>
      <c r="BZ61" s="393">
        <f t="shared" si="140"/>
        <v>7333680</v>
      </c>
      <c r="CA61" s="365">
        <f t="shared" si="140"/>
        <v>2163242</v>
      </c>
      <c r="CB61" s="366">
        <f t="shared" si="140"/>
        <v>153904</v>
      </c>
      <c r="CC61" s="393">
        <f t="shared" si="140"/>
        <v>2317146</v>
      </c>
      <c r="CD61" s="365">
        <f t="shared" si="140"/>
        <v>1267653</v>
      </c>
      <c r="CE61" s="366">
        <f t="shared" si="140"/>
        <v>55017</v>
      </c>
      <c r="CF61" s="393">
        <f t="shared" si="140"/>
        <v>1322670</v>
      </c>
      <c r="CG61" s="365">
        <f t="shared" si="140"/>
        <v>0</v>
      </c>
      <c r="CH61" s="366">
        <f t="shared" si="140"/>
        <v>0</v>
      </c>
      <c r="CI61" s="393">
        <f t="shared" si="140"/>
        <v>0</v>
      </c>
      <c r="CJ61" s="775">
        <f t="shared" ref="CJ61:CL61" si="141">SUM(CJ36:CJ57)</f>
        <v>0</v>
      </c>
      <c r="CK61" s="366">
        <f t="shared" si="141"/>
        <v>0</v>
      </c>
      <c r="CL61" s="393">
        <f t="shared" si="141"/>
        <v>0</v>
      </c>
      <c r="CM61" s="775">
        <f t="shared" ref="CM61:CX61" si="142">SUM(CM36:CM57)</f>
        <v>0</v>
      </c>
      <c r="CN61" s="366">
        <f t="shared" si="142"/>
        <v>0</v>
      </c>
      <c r="CO61" s="393">
        <f t="shared" si="142"/>
        <v>0</v>
      </c>
      <c r="CP61" s="775">
        <f t="shared" si="142"/>
        <v>0</v>
      </c>
      <c r="CQ61" s="366">
        <f t="shared" si="142"/>
        <v>0</v>
      </c>
      <c r="CR61" s="393">
        <f t="shared" si="142"/>
        <v>0</v>
      </c>
      <c r="CS61" s="775">
        <f t="shared" si="142"/>
        <v>0</v>
      </c>
      <c r="CT61" s="366">
        <f t="shared" si="142"/>
        <v>0</v>
      </c>
      <c r="CU61" s="393">
        <f t="shared" si="142"/>
        <v>0</v>
      </c>
      <c r="CV61" s="775">
        <f t="shared" si="142"/>
        <v>0</v>
      </c>
      <c r="CW61" s="366">
        <f t="shared" si="142"/>
        <v>0</v>
      </c>
      <c r="CX61" s="393">
        <f t="shared" si="142"/>
        <v>0</v>
      </c>
    </row>
    <row r="62" spans="1:102" ht="14.25" thickBot="1">
      <c r="A62" s="438"/>
      <c r="B62" s="439" t="s">
        <v>272</v>
      </c>
      <c r="C62" s="1595">
        <f>SUM(C61,D61)</f>
        <v>5274436</v>
      </c>
      <c r="D62" s="1596"/>
      <c r="E62" s="1595">
        <f>SUM(E61,F61)</f>
        <v>82745969</v>
      </c>
      <c r="F62" s="1596"/>
      <c r="G62" s="1595">
        <f>SUM(G61,H61)</f>
        <v>8396896</v>
      </c>
      <c r="H62" s="1596"/>
      <c r="I62" s="1595">
        <f>SUM(I61,J61)</f>
        <v>12143819</v>
      </c>
      <c r="J62" s="1596"/>
      <c r="K62" s="1597">
        <f>SUM(K61,L61)</f>
        <v>6141266</v>
      </c>
      <c r="L62" s="1598"/>
      <c r="M62" s="1595">
        <f>SUM(M61,N61)</f>
        <v>6287525</v>
      </c>
      <c r="N62" s="1596"/>
      <c r="O62" s="1597">
        <f>SUM(O61,P61)</f>
        <v>8079865</v>
      </c>
      <c r="P62" s="1598"/>
      <c r="Q62" s="1595">
        <f>SUM(Q61,R61)</f>
        <v>7821916</v>
      </c>
      <c r="R62" s="1596"/>
      <c r="S62" s="1597">
        <f>SUM(S61,T61)</f>
        <v>7477426</v>
      </c>
      <c r="T62" s="1598"/>
      <c r="U62" s="1595">
        <f>SUM(U61,V61)</f>
        <v>8183347</v>
      </c>
      <c r="V62" s="1596"/>
      <c r="W62" s="1597">
        <f>SUM(W61,X61)</f>
        <v>6121811</v>
      </c>
      <c r="X62" s="1598"/>
      <c r="Y62" s="1595">
        <f>SUM(Y61,Z61)</f>
        <v>4758418</v>
      </c>
      <c r="Z62" s="1596"/>
      <c r="AA62" s="1597">
        <f>SUM(AA61,AB61)</f>
        <v>6399222</v>
      </c>
      <c r="AB62" s="1598"/>
      <c r="AC62" s="1595">
        <f>SUM(AC61,AD61)</f>
        <v>994476</v>
      </c>
      <c r="AD62" s="1596"/>
      <c r="AE62" s="1597">
        <f>SUM(AE61,AF61)</f>
        <v>1322670</v>
      </c>
      <c r="AF62" s="1596"/>
      <c r="AG62" s="1597">
        <f>SUM(AG61,AH61)</f>
        <v>0</v>
      </c>
      <c r="AH62" s="1599"/>
      <c r="AI62" s="1597">
        <f>SUM(AI61,AJ61)</f>
        <v>0</v>
      </c>
      <c r="AJ62" s="1599"/>
      <c r="AK62" s="1597">
        <f>SUM(AK61,AL61)</f>
        <v>0</v>
      </c>
      <c r="AL62" s="1599"/>
      <c r="AM62" s="1597">
        <f>SUM(AM61,AN61)</f>
        <v>0</v>
      </c>
      <c r="AN62" s="1599"/>
      <c r="AO62" s="1597">
        <f>SUM(AO61,AP61)</f>
        <v>0</v>
      </c>
      <c r="AP62" s="1599"/>
      <c r="AQ62" s="1597">
        <f>SUM(AQ61,AR61)</f>
        <v>0</v>
      </c>
      <c r="AR62" s="1599"/>
      <c r="AS62" s="193"/>
      <c r="AT62" s="193"/>
      <c r="AU62" s="440"/>
      <c r="AV62" s="440"/>
      <c r="AW62" s="1592"/>
      <c r="AX62" s="1593"/>
      <c r="AY62" s="1594"/>
      <c r="AZ62" s="1592"/>
      <c r="BA62" s="1593"/>
      <c r="BB62" s="1594"/>
      <c r="BC62" s="1592"/>
      <c r="BD62" s="1593"/>
      <c r="BE62" s="1594"/>
      <c r="BF62" s="1592"/>
      <c r="BG62" s="1593"/>
      <c r="BH62" s="1594"/>
      <c r="BI62" s="1592"/>
      <c r="BJ62" s="1593"/>
      <c r="BK62" s="1594"/>
      <c r="BL62" s="1592"/>
      <c r="BM62" s="1593"/>
      <c r="BN62" s="1594"/>
      <c r="BO62" s="1592"/>
      <c r="BP62" s="1593"/>
      <c r="BQ62" s="1594"/>
      <c r="BR62" s="1592"/>
      <c r="BS62" s="1593"/>
      <c r="BT62" s="1594"/>
      <c r="BU62" s="1592"/>
      <c r="BV62" s="1593"/>
      <c r="BW62" s="1594"/>
      <c r="BX62" s="1592"/>
      <c r="BY62" s="1593"/>
      <c r="BZ62" s="1594"/>
      <c r="CA62" s="1592"/>
      <c r="CB62" s="1593"/>
      <c r="CC62" s="1594"/>
      <c r="CD62" s="1592"/>
      <c r="CE62" s="1593"/>
      <c r="CF62" s="1594"/>
      <c r="CG62" s="1592"/>
      <c r="CH62" s="1593"/>
      <c r="CI62" s="1594"/>
      <c r="CJ62" s="1592"/>
      <c r="CK62" s="1593"/>
      <c r="CL62" s="1594"/>
      <c r="CM62" s="1592"/>
      <c r="CN62" s="1593"/>
      <c r="CO62" s="1594"/>
      <c r="CP62" s="1592"/>
      <c r="CQ62" s="1593"/>
      <c r="CR62" s="1594"/>
      <c r="CS62" s="1592"/>
      <c r="CT62" s="1593"/>
      <c r="CU62" s="1594"/>
      <c r="CV62" s="1592"/>
      <c r="CW62" s="1593"/>
      <c r="CX62" s="1594"/>
    </row>
    <row r="63" spans="1:102" ht="13.5" thickBot="1">
      <c r="A63" s="1586" t="s">
        <v>296</v>
      </c>
      <c r="B63" s="1587"/>
      <c r="C63" s="441">
        <f t="shared" ref="C63:AR63" si="143">SUM(C11,C31,C61)</f>
        <v>4220898</v>
      </c>
      <c r="D63" s="442">
        <f t="shared" si="143"/>
        <v>1839251</v>
      </c>
      <c r="E63" s="441">
        <f t="shared" si="143"/>
        <v>78054384</v>
      </c>
      <c r="F63" s="442">
        <f t="shared" si="143"/>
        <v>23675029</v>
      </c>
      <c r="G63" s="441">
        <f t="shared" si="143"/>
        <v>6998867</v>
      </c>
      <c r="H63" s="442">
        <f t="shared" si="143"/>
        <v>2173467</v>
      </c>
      <c r="I63" s="441">
        <f t="shared" si="143"/>
        <v>10160865</v>
      </c>
      <c r="J63" s="442">
        <f t="shared" si="143"/>
        <v>2980913</v>
      </c>
      <c r="K63" s="443">
        <f t="shared" si="143"/>
        <v>4101396</v>
      </c>
      <c r="L63" s="442">
        <f t="shared" si="143"/>
        <v>3414159</v>
      </c>
      <c r="M63" s="441">
        <f t="shared" si="143"/>
        <v>5499418</v>
      </c>
      <c r="N63" s="442">
        <f t="shared" si="143"/>
        <v>3342705</v>
      </c>
      <c r="O63" s="443">
        <f t="shared" si="143"/>
        <v>7972714</v>
      </c>
      <c r="P63" s="442">
        <f t="shared" si="143"/>
        <v>3033833</v>
      </c>
      <c r="Q63" s="441">
        <f t="shared" si="143"/>
        <v>7943402</v>
      </c>
      <c r="R63" s="442">
        <f t="shared" si="143"/>
        <v>2691869</v>
      </c>
      <c r="S63" s="443">
        <f t="shared" si="143"/>
        <v>7892407</v>
      </c>
      <c r="T63" s="442">
        <f t="shared" si="143"/>
        <v>2263234</v>
      </c>
      <c r="U63" s="441">
        <f t="shared" si="143"/>
        <v>8795589</v>
      </c>
      <c r="V63" s="442">
        <f t="shared" si="143"/>
        <v>1885856</v>
      </c>
      <c r="W63" s="443">
        <f t="shared" si="143"/>
        <v>7075246</v>
      </c>
      <c r="X63" s="442">
        <f t="shared" si="143"/>
        <v>1441789</v>
      </c>
      <c r="Y63" s="441">
        <f t="shared" si="143"/>
        <v>6018648</v>
      </c>
      <c r="Z63" s="442">
        <f t="shared" si="143"/>
        <v>1051026</v>
      </c>
      <c r="AA63" s="443">
        <f t="shared" si="143"/>
        <v>7867653</v>
      </c>
      <c r="AB63" s="442">
        <f t="shared" si="143"/>
        <v>757297</v>
      </c>
      <c r="AC63" s="441">
        <f t="shared" si="143"/>
        <v>2670835</v>
      </c>
      <c r="AD63" s="442">
        <f t="shared" si="143"/>
        <v>462199</v>
      </c>
      <c r="AE63" s="443">
        <f t="shared" si="143"/>
        <v>3042899</v>
      </c>
      <c r="AF63" s="442">
        <f t="shared" si="143"/>
        <v>329431</v>
      </c>
      <c r="AG63" s="443">
        <f t="shared" si="143"/>
        <v>1774404</v>
      </c>
      <c r="AH63" s="444">
        <f t="shared" si="143"/>
        <v>183703</v>
      </c>
      <c r="AI63" s="443">
        <f t="shared" si="143"/>
        <v>1153846</v>
      </c>
      <c r="AJ63" s="444">
        <f t="shared" si="143"/>
        <v>95143</v>
      </c>
      <c r="AK63" s="443">
        <f t="shared" si="143"/>
        <v>1153848</v>
      </c>
      <c r="AL63" s="444">
        <f t="shared" si="143"/>
        <v>48632</v>
      </c>
      <c r="AM63" s="443">
        <f t="shared" si="143"/>
        <v>0</v>
      </c>
      <c r="AN63" s="444">
        <f t="shared" si="143"/>
        <v>0</v>
      </c>
      <c r="AO63" s="443">
        <f t="shared" si="143"/>
        <v>0</v>
      </c>
      <c r="AP63" s="444">
        <f t="shared" si="143"/>
        <v>0</v>
      </c>
      <c r="AQ63" s="443">
        <f t="shared" si="143"/>
        <v>0</v>
      </c>
      <c r="AR63" s="444">
        <f t="shared" si="143"/>
        <v>0</v>
      </c>
      <c r="AS63" s="193"/>
      <c r="AT63" s="193"/>
      <c r="AU63" s="1588" t="s">
        <v>297</v>
      </c>
      <c r="AV63" s="1589"/>
      <c r="AW63" s="445">
        <f>SUM(AW11,AW31,AW61)-2</f>
        <v>48110959</v>
      </c>
      <c r="AX63" s="446">
        <f>SUM(AX11,AX31,AX61)</f>
        <v>11372133</v>
      </c>
      <c r="AY63" s="447">
        <f>SUM(AW63,AX63)</f>
        <v>59483092</v>
      </c>
      <c r="AZ63" s="445">
        <f>SUM(AZ11,AZ31,AZ61)</f>
        <v>61217412</v>
      </c>
      <c r="BA63" s="446">
        <f>SUM(BA11,BA31,BA61)</f>
        <v>18886117</v>
      </c>
      <c r="BB63" s="447">
        <f>SUM(AZ63,BA63)</f>
        <v>80103529</v>
      </c>
      <c r="BC63" s="445">
        <f>SUM(BC11,BC31,BC61)</f>
        <v>65813971</v>
      </c>
      <c r="BD63" s="446">
        <f>SUM(BD61,BD31,BD11)</f>
        <v>17183308</v>
      </c>
      <c r="BE63" s="447">
        <f>SUM(BC63,BD63)</f>
        <v>82997279</v>
      </c>
      <c r="BF63" s="445">
        <f>SUM(BF11,BF31,BF61)</f>
        <v>60862438</v>
      </c>
      <c r="BG63" s="446">
        <f>SUM(BG11,BG31,BG61)</f>
        <v>14054030</v>
      </c>
      <c r="BH63" s="447">
        <f>SUM(BF63,BG63)</f>
        <v>74916468</v>
      </c>
      <c r="BI63" s="445">
        <f>SUM(BI11,BI31,BI61)</f>
        <v>52889724</v>
      </c>
      <c r="BJ63" s="446">
        <f>SUM(BJ11,BJ31,BJ61)</f>
        <v>11003626</v>
      </c>
      <c r="BK63" s="447">
        <f>SUM(BI63,BJ63)</f>
        <v>63893350</v>
      </c>
      <c r="BL63" s="445">
        <f>SUM(BL11,BL31,BL61)</f>
        <v>45189724</v>
      </c>
      <c r="BM63" s="446">
        <f>SUM(BM11,BM31,BM61)</f>
        <v>8339889</v>
      </c>
      <c r="BN63" s="447">
        <f>SUM(BL63,BM63)</f>
        <v>53529613</v>
      </c>
      <c r="BO63" s="445">
        <f>SUM(BO11,BO31,BO61)</f>
        <v>37389724</v>
      </c>
      <c r="BP63" s="446">
        <f>SUM(BP11,BP31,BP61)</f>
        <v>6076347</v>
      </c>
      <c r="BQ63" s="447">
        <f>SUM(BO63,BP63)</f>
        <v>43466071</v>
      </c>
      <c r="BR63" s="445">
        <f>SUM(BR11,BR31,BR61)</f>
        <v>29489726</v>
      </c>
      <c r="BS63" s="446">
        <f>SUM(BS11,BS31,BS61)</f>
        <v>4338667</v>
      </c>
      <c r="BT63" s="447">
        <f>SUM(BR63,BS63)</f>
        <v>33828393</v>
      </c>
      <c r="BU63" s="445">
        <f>SUM(BU11,BU31,BU61)</f>
        <v>22414480</v>
      </c>
      <c r="BV63" s="446">
        <f>SUM(BV11,BV31,BV61)</f>
        <v>2878508</v>
      </c>
      <c r="BW63" s="447">
        <f>SUM(BU63,BV63)</f>
        <v>25292988</v>
      </c>
      <c r="BX63" s="445">
        <f>SUM(BX11,BX31,BX61)</f>
        <v>16395832</v>
      </c>
      <c r="BY63" s="446">
        <f>SUM(BY11,BY31,BY61)</f>
        <v>1808633</v>
      </c>
      <c r="BZ63" s="447">
        <f>SUM(BX63,BY63)</f>
        <v>18204465</v>
      </c>
      <c r="CA63" s="445">
        <f>SUM(CA11,CA31,CA61)</f>
        <v>9795832</v>
      </c>
      <c r="CB63" s="446">
        <f>SUM(CB11,CB31,CB61)</f>
        <v>1147030</v>
      </c>
      <c r="CC63" s="447">
        <f>SUM(CA63,CB63)</f>
        <v>10942862</v>
      </c>
      <c r="CD63" s="445">
        <f>SUM(CD11,CD31,CD61)</f>
        <v>7124997</v>
      </c>
      <c r="CE63" s="446">
        <f>SUM(CE11,CE31,CE61)</f>
        <v>664984</v>
      </c>
      <c r="CF63" s="447">
        <f>SUM(CD63,CE63)</f>
        <v>7789981</v>
      </c>
      <c r="CG63" s="445">
        <f>SUM(CG11,CG31,CG61)</f>
        <v>4082098</v>
      </c>
      <c r="CH63" s="446">
        <f>SUM(CH11,CH31,CH61)</f>
        <v>315190</v>
      </c>
      <c r="CI63" s="447">
        <f>SUM(CG63,CH63)</f>
        <v>4397288</v>
      </c>
      <c r="CJ63" s="445">
        <f>SUM(CJ11,CJ31,CJ61)</f>
        <v>2307694</v>
      </c>
      <c r="CK63" s="446">
        <f>SUM(CK11,CK31,CK61)</f>
        <v>184217</v>
      </c>
      <c r="CL63" s="447">
        <f>SUM(CJ63,CK63)</f>
        <v>2491911</v>
      </c>
      <c r="CM63" s="445">
        <f>SUM(CM11,CM31,CM61)</f>
        <v>1153848</v>
      </c>
      <c r="CN63" s="446">
        <f>SUM(CN11,CN31,CN61)</f>
        <v>118201</v>
      </c>
      <c r="CO63" s="447">
        <f>SUM(CM63,CN63)</f>
        <v>1272049</v>
      </c>
      <c r="CP63" s="445">
        <f>SUM(CP11,CP31,CP61)</f>
        <v>0</v>
      </c>
      <c r="CQ63" s="446">
        <f>SUM(CQ11,CQ31,CQ61)</f>
        <v>73626</v>
      </c>
      <c r="CR63" s="447">
        <f>SUM(CP63,CQ63)</f>
        <v>73626</v>
      </c>
      <c r="CS63" s="445">
        <f>SUM(CS11,CS31,CS61)</f>
        <v>0</v>
      </c>
      <c r="CT63" s="446">
        <f>SUM(CT11,CT31,CT61)</f>
        <v>73626</v>
      </c>
      <c r="CU63" s="447">
        <f>SUM(CS63,CT63)</f>
        <v>73626</v>
      </c>
      <c r="CV63" s="445">
        <f>SUM(CV11,CV31,CV61)</f>
        <v>0</v>
      </c>
      <c r="CW63" s="446">
        <f>SUM(CW11,CW31,CW61)</f>
        <v>73626</v>
      </c>
      <c r="CX63" s="447">
        <f>SUM(CV63,CW63)</f>
        <v>73626</v>
      </c>
    </row>
    <row r="64" spans="1:102" s="464" customFormat="1" ht="27.75" customHeight="1" thickBot="1">
      <c r="A64" s="1590" t="s">
        <v>298</v>
      </c>
      <c r="B64" s="1591"/>
      <c r="C64" s="448"/>
      <c r="D64" s="449">
        <f>SUM(C63,D63)</f>
        <v>6060149</v>
      </c>
      <c r="E64" s="450"/>
      <c r="F64" s="449">
        <f>SUM(E63,F63)</f>
        <v>101729413</v>
      </c>
      <c r="G64" s="451"/>
      <c r="H64" s="449">
        <f>SUM(G63,H63)</f>
        <v>9172334</v>
      </c>
      <c r="I64" s="451"/>
      <c r="J64" s="449">
        <f>SUM(I63,J63)</f>
        <v>13141778</v>
      </c>
      <c r="K64" s="452"/>
      <c r="L64" s="453">
        <f>SUM(K63,L63)</f>
        <v>7515555</v>
      </c>
      <c r="M64" s="451"/>
      <c r="N64" s="449">
        <f>SUM(M63,N63)</f>
        <v>8842123</v>
      </c>
      <c r="O64" s="452"/>
      <c r="P64" s="453">
        <f>SUM(O63,P63)</f>
        <v>11006547</v>
      </c>
      <c r="Q64" s="451"/>
      <c r="R64" s="449">
        <f>SUM(Q63,R63)</f>
        <v>10635271</v>
      </c>
      <c r="S64" s="452"/>
      <c r="T64" s="453">
        <f>SUM(S63,T63)</f>
        <v>10155641</v>
      </c>
      <c r="U64" s="451"/>
      <c r="V64" s="449">
        <f>SUM(U63,V63)</f>
        <v>10681445</v>
      </c>
      <c r="W64" s="452"/>
      <c r="X64" s="453">
        <f>SUM(W63,X63)</f>
        <v>8517035</v>
      </c>
      <c r="Y64" s="450"/>
      <c r="Z64" s="449">
        <f>SUM(Y63,Z63)</f>
        <v>7069674</v>
      </c>
      <c r="AA64" s="454"/>
      <c r="AB64" s="453">
        <f>SUM(AA63,AB63)</f>
        <v>8624950</v>
      </c>
      <c r="AC64" s="450"/>
      <c r="AD64" s="449">
        <f>SUM(AC63,AD63)</f>
        <v>3133034</v>
      </c>
      <c r="AE64" s="454"/>
      <c r="AF64" s="449">
        <f>SUM(AE63,AF63)</f>
        <v>3372330</v>
      </c>
      <c r="AG64" s="454"/>
      <c r="AH64" s="455">
        <f>SUM(AG63,AH63)</f>
        <v>1958107</v>
      </c>
      <c r="AI64" s="454"/>
      <c r="AJ64" s="455">
        <f>SUM(AI63,AJ63)</f>
        <v>1248989</v>
      </c>
      <c r="AK64" s="454"/>
      <c r="AL64" s="455">
        <f>SUM(AK63,AL63)</f>
        <v>1202480</v>
      </c>
      <c r="AM64" s="454"/>
      <c r="AN64" s="455">
        <f>SUM(AM63,AN63)</f>
        <v>0</v>
      </c>
      <c r="AO64" s="454"/>
      <c r="AP64" s="455">
        <f>SUM(AO63,AP63)</f>
        <v>0</v>
      </c>
      <c r="AQ64" s="454"/>
      <c r="AR64" s="455">
        <f>SUM(AQ63,AR63)</f>
        <v>0</v>
      </c>
      <c r="AS64" s="456"/>
      <c r="AT64" s="456"/>
      <c r="AU64" s="457"/>
      <c r="AV64" s="457"/>
      <c r="AW64" s="458"/>
      <c r="AX64" s="458"/>
      <c r="AY64" s="459">
        <f>SUM(AY11,AY31,AY61)</f>
        <v>59483094</v>
      </c>
      <c r="AZ64" s="460"/>
      <c r="BA64" s="460"/>
      <c r="BB64" s="459">
        <f>SUM(BB11,BB31,BB61)</f>
        <v>64186768</v>
      </c>
      <c r="BC64" s="460"/>
      <c r="BD64" s="460"/>
      <c r="BE64" s="459">
        <f>SUM(BE11,BE31,BE61)</f>
        <v>82997279</v>
      </c>
      <c r="BF64" s="460"/>
      <c r="BG64" s="460"/>
      <c r="BH64" s="459">
        <f>SUM(BH11,BH31,BH61)</f>
        <v>74916468</v>
      </c>
      <c r="BI64" s="460"/>
      <c r="BJ64" s="460"/>
      <c r="BK64" s="459">
        <f>SUM(BK11,BK31,BK61)</f>
        <v>63893350</v>
      </c>
      <c r="BL64" s="461"/>
      <c r="BM64" s="460"/>
      <c r="BN64" s="459">
        <f>SUM(BN11,BN31,BN61)</f>
        <v>53529613</v>
      </c>
      <c r="BO64" s="462"/>
      <c r="BP64" s="462"/>
      <c r="BQ64" s="463">
        <f>SUM(BQ11,BQ31,BQ61)</f>
        <v>43466071</v>
      </c>
      <c r="BR64" s="462"/>
      <c r="BS64" s="462"/>
      <c r="BT64" s="463">
        <f>SUM(BT11,BT31,BT61)</f>
        <v>33828393</v>
      </c>
      <c r="BU64" s="462"/>
      <c r="BV64" s="462"/>
      <c r="BW64" s="463">
        <f>SUM(BW11,BW31,BW61)</f>
        <v>25292988</v>
      </c>
      <c r="BX64" s="462"/>
      <c r="BY64" s="462"/>
      <c r="BZ64" s="463">
        <f>SUM(BZ11,BZ31,BZ61)</f>
        <v>18204465</v>
      </c>
      <c r="CA64" s="462"/>
      <c r="CB64" s="462"/>
      <c r="CC64" s="463">
        <f>SUM(CC11,CC31,CC61)</f>
        <v>10942862</v>
      </c>
      <c r="CD64" s="462"/>
      <c r="CE64" s="462"/>
      <c r="CF64" s="463">
        <f>SUM(CF11,CF31,CF61)</f>
        <v>7789981</v>
      </c>
      <c r="CG64" s="462"/>
      <c r="CH64" s="462"/>
      <c r="CI64" s="463">
        <f>SUM(CI11,CI31,CI61)</f>
        <v>4397288</v>
      </c>
      <c r="CJ64" s="462"/>
      <c r="CK64" s="462"/>
      <c r="CL64" s="463">
        <f>SUM(CL11,CL31,CL61)</f>
        <v>2491911</v>
      </c>
      <c r="CM64" s="462"/>
      <c r="CN64" s="462"/>
      <c r="CO64" s="463">
        <f>SUM(CO11,CO31,CO61)</f>
        <v>1272049</v>
      </c>
      <c r="CP64" s="462"/>
      <c r="CQ64" s="462"/>
      <c r="CR64" s="463">
        <f>SUM(CR11,CR31,CR61)</f>
        <v>73626</v>
      </c>
      <c r="CS64" s="462"/>
      <c r="CT64" s="462"/>
      <c r="CU64" s="463">
        <f>SUM(CU11,CU31,CU61)</f>
        <v>73626</v>
      </c>
      <c r="CV64" s="462"/>
      <c r="CW64" s="462"/>
      <c r="CX64" s="463">
        <f>SUM(CX11,CX31,CX61)</f>
        <v>73626</v>
      </c>
    </row>
    <row r="65" spans="1:102" ht="13.5" thickTop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465"/>
      <c r="AV65" s="465"/>
      <c r="AW65" s="466"/>
      <c r="AX65" s="466"/>
      <c r="AY65" s="465"/>
      <c r="AZ65" s="465"/>
      <c r="BA65" s="465"/>
      <c r="BB65" s="465"/>
      <c r="BC65" s="465"/>
      <c r="BD65" s="465"/>
      <c r="BE65" s="465"/>
      <c r="BF65" s="465"/>
      <c r="BG65" s="465"/>
      <c r="BH65" s="465"/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/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5"/>
      <c r="CS65" s="465"/>
      <c r="CT65" s="465"/>
      <c r="CU65" s="465"/>
      <c r="CV65" s="465"/>
      <c r="CW65" s="465"/>
      <c r="CX65" s="193"/>
    </row>
    <row r="66" spans="1:10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</row>
    <row r="67" spans="1:102" hidden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</row>
    <row r="68" spans="1:102" hidden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</mergeCells>
  <pageMargins left="0.43307086614173229" right="0.43307086614173229" top="0.9055118110236221" bottom="0.82677165354330717" header="0.51181102362204722" footer="0.51181102362204722"/>
  <pageSetup paperSize="8" scale="45" fitToWidth="5" orientation="landscape" r:id="rId2"/>
  <headerFooter alignWithMargins="0"/>
  <colBreaks count="2" manualBreakCount="2">
    <brk id="13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62"/>
  <sheetViews>
    <sheetView view="pageBreakPreview" topLeftCell="A103" zoomScale="85" zoomScaleNormal="100" zoomScaleSheetLayoutView="85" workbookViewId="0">
      <selection activeCell="P134" sqref="P134:P137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" style="72" customWidth="1"/>
    <col min="10" max="11" width="5.5703125" style="72" customWidth="1"/>
    <col min="12" max="12" width="16.140625" style="72" customWidth="1"/>
    <col min="13" max="13" width="14.28515625" style="72" customWidth="1"/>
    <col min="14" max="14" width="16.140625" style="72" customWidth="1"/>
    <col min="15" max="15" width="2.28515625" style="72" customWidth="1"/>
    <col min="16" max="16" width="16" style="670" customWidth="1"/>
    <col min="17" max="17" width="15.42578125" style="670" customWidth="1"/>
    <col min="18" max="18" width="15.42578125" style="670" bestFit="1" customWidth="1"/>
    <col min="19" max="19" width="14.7109375" style="670" customWidth="1"/>
    <col min="20" max="20" width="7" style="72" customWidth="1"/>
    <col min="21" max="21" width="14.140625" style="75" customWidth="1"/>
    <col min="22" max="22" width="2.42578125" style="193" customWidth="1"/>
    <col min="23" max="24" width="0" hidden="1" customWidth="1"/>
    <col min="25" max="16384" width="9.140625" hidden="1"/>
  </cols>
  <sheetData>
    <row r="1" spans="1:21" ht="110.2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2"/>
      <c r="N1" s="192"/>
      <c r="O1" s="192"/>
      <c r="P1" s="667"/>
      <c r="Q1" s="668"/>
      <c r="R1" s="668"/>
      <c r="S1" s="2344" t="s">
        <v>487</v>
      </c>
      <c r="T1" s="2345"/>
      <c r="U1" s="2345"/>
    </row>
    <row r="2" spans="1:21" ht="21.75">
      <c r="A2" s="1776" t="s">
        <v>104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  <c r="R2" s="1776"/>
      <c r="S2" s="1776"/>
      <c r="T2" s="1776"/>
      <c r="U2" s="1776"/>
    </row>
    <row r="3" spans="1:21" ht="60" customHeight="1" thickBot="1">
      <c r="A3" s="2346" t="s">
        <v>342</v>
      </c>
      <c r="B3" s="2346"/>
      <c r="C3" s="2346"/>
      <c r="D3" s="2346"/>
      <c r="E3" s="2346"/>
      <c r="F3" s="2346"/>
      <c r="G3" s="2346"/>
      <c r="H3" s="2346"/>
      <c r="I3" s="2346"/>
      <c r="J3" s="2346"/>
      <c r="K3" s="2346"/>
      <c r="L3" s="2346"/>
      <c r="M3" s="2346"/>
      <c r="N3" s="2346"/>
      <c r="O3" s="2346"/>
      <c r="P3" s="2346"/>
      <c r="Q3" s="2346"/>
      <c r="R3" s="2346"/>
      <c r="S3" s="2346"/>
      <c r="T3" s="2346"/>
      <c r="U3" s="2346"/>
    </row>
    <row r="4" spans="1:21" ht="13.5" thickTop="1">
      <c r="A4" s="1777" t="s">
        <v>105</v>
      </c>
      <c r="B4" s="1781" t="s">
        <v>106</v>
      </c>
      <c r="C4" s="1781"/>
      <c r="D4" s="1781" t="s">
        <v>107</v>
      </c>
      <c r="E4" s="1781"/>
      <c r="F4" s="1781" t="s">
        <v>108</v>
      </c>
      <c r="G4" s="1781"/>
      <c r="H4" s="1781"/>
      <c r="I4" s="1781"/>
      <c r="J4" s="1783" t="s">
        <v>109</v>
      </c>
      <c r="K4" s="1784"/>
      <c r="L4" s="1787" t="s">
        <v>110</v>
      </c>
      <c r="M4" s="1783" t="s">
        <v>111</v>
      </c>
      <c r="N4" s="1789"/>
      <c r="O4" s="1789"/>
      <c r="P4" s="1790"/>
      <c r="Q4" s="1790"/>
      <c r="R4" s="1790"/>
      <c r="S4" s="1790"/>
      <c r="T4" s="1790"/>
      <c r="U4" s="1791"/>
    </row>
    <row r="5" spans="1:21">
      <c r="A5" s="1778"/>
      <c r="B5" s="1782"/>
      <c r="C5" s="1782"/>
      <c r="D5" s="1782"/>
      <c r="E5" s="1782"/>
      <c r="F5" s="1782"/>
      <c r="G5" s="1782"/>
      <c r="H5" s="1782"/>
      <c r="I5" s="1782"/>
      <c r="J5" s="1766"/>
      <c r="K5" s="1768"/>
      <c r="L5" s="1788"/>
      <c r="M5" s="1792"/>
      <c r="N5" s="1793"/>
      <c r="O5" s="1793"/>
      <c r="P5" s="1793"/>
      <c r="Q5" s="1793"/>
      <c r="R5" s="1793"/>
      <c r="S5" s="1793"/>
      <c r="T5" s="1793"/>
      <c r="U5" s="1794"/>
    </row>
    <row r="6" spans="1:21">
      <c r="A6" s="1778"/>
      <c r="B6" s="1763" t="s">
        <v>112</v>
      </c>
      <c r="C6" s="1765"/>
      <c r="D6" s="1763" t="s">
        <v>113</v>
      </c>
      <c r="E6" s="1765"/>
      <c r="F6" s="1763" t="s">
        <v>114</v>
      </c>
      <c r="G6" s="1764"/>
      <c r="H6" s="1764"/>
      <c r="I6" s="1765"/>
      <c r="J6" s="1766"/>
      <c r="K6" s="1768"/>
      <c r="L6" s="1788"/>
      <c r="M6" s="1795"/>
      <c r="N6" s="1796"/>
      <c r="O6" s="1796"/>
      <c r="P6" s="1796"/>
      <c r="Q6" s="1796"/>
      <c r="R6" s="1796"/>
      <c r="S6" s="1796"/>
      <c r="T6" s="1796"/>
      <c r="U6" s="1797"/>
    </row>
    <row r="7" spans="1:21">
      <c r="A7" s="1778"/>
      <c r="B7" s="1785"/>
      <c r="C7" s="1786"/>
      <c r="D7" s="1785"/>
      <c r="E7" s="1786"/>
      <c r="F7" s="1785"/>
      <c r="G7" s="1807"/>
      <c r="H7" s="1807"/>
      <c r="I7" s="1786"/>
      <c r="J7" s="1766"/>
      <c r="K7" s="1768"/>
      <c r="L7" s="1788"/>
      <c r="M7" s="1808" t="s">
        <v>115</v>
      </c>
      <c r="N7" s="1808" t="s">
        <v>116</v>
      </c>
      <c r="O7" s="1808" t="s">
        <v>117</v>
      </c>
      <c r="P7" s="1772">
        <v>2013</v>
      </c>
      <c r="Q7" s="1772">
        <v>2014</v>
      </c>
      <c r="R7" s="1772">
        <v>2015</v>
      </c>
      <c r="S7" s="1798">
        <v>2016</v>
      </c>
      <c r="T7" s="1801" t="s">
        <v>118</v>
      </c>
      <c r="U7" s="1802"/>
    </row>
    <row r="8" spans="1:21">
      <c r="A8" s="1779"/>
      <c r="B8" s="1763" t="s">
        <v>119</v>
      </c>
      <c r="C8" s="1764"/>
      <c r="D8" s="1764"/>
      <c r="E8" s="1764"/>
      <c r="F8" s="1764"/>
      <c r="G8" s="1764"/>
      <c r="H8" s="1764"/>
      <c r="I8" s="1765"/>
      <c r="J8" s="1766"/>
      <c r="K8" s="1768"/>
      <c r="L8" s="1788"/>
      <c r="M8" s="1809"/>
      <c r="N8" s="1811"/>
      <c r="O8" s="1811"/>
      <c r="P8" s="1773"/>
      <c r="Q8" s="1773"/>
      <c r="R8" s="1773"/>
      <c r="S8" s="1799"/>
      <c r="T8" s="1803"/>
      <c r="U8" s="1804"/>
    </row>
    <row r="9" spans="1:21">
      <c r="A9" s="1779"/>
      <c r="B9" s="1766"/>
      <c r="C9" s="1767"/>
      <c r="D9" s="1767"/>
      <c r="E9" s="1767"/>
      <c r="F9" s="1767"/>
      <c r="G9" s="1767"/>
      <c r="H9" s="1767"/>
      <c r="I9" s="1768"/>
      <c r="J9" s="1785"/>
      <c r="K9" s="1786"/>
      <c r="L9" s="1788"/>
      <c r="M9" s="1809"/>
      <c r="N9" s="1811"/>
      <c r="O9" s="1811"/>
      <c r="P9" s="1773"/>
      <c r="Q9" s="1773"/>
      <c r="R9" s="1773"/>
      <c r="S9" s="1799"/>
      <c r="T9" s="1803"/>
      <c r="U9" s="1804"/>
    </row>
    <row r="10" spans="1:21">
      <c r="A10" s="1779"/>
      <c r="B10" s="1766"/>
      <c r="C10" s="1767"/>
      <c r="D10" s="1767"/>
      <c r="E10" s="1767"/>
      <c r="F10" s="1767"/>
      <c r="G10" s="1767"/>
      <c r="H10" s="1767"/>
      <c r="I10" s="1768"/>
      <c r="J10" s="1813" t="s">
        <v>120</v>
      </c>
      <c r="K10" s="1813" t="s">
        <v>121</v>
      </c>
      <c r="L10" s="1782" t="s">
        <v>122</v>
      </c>
      <c r="M10" s="1809"/>
      <c r="N10" s="1811"/>
      <c r="O10" s="1811"/>
      <c r="P10" s="1773"/>
      <c r="Q10" s="1773"/>
      <c r="R10" s="1773"/>
      <c r="S10" s="1799"/>
      <c r="T10" s="1803"/>
      <c r="U10" s="1804"/>
    </row>
    <row r="11" spans="1:21" ht="9.75" customHeight="1">
      <c r="A11" s="1779"/>
      <c r="B11" s="1785"/>
      <c r="C11" s="1807"/>
      <c r="D11" s="1807"/>
      <c r="E11" s="1807"/>
      <c r="F11" s="1807"/>
      <c r="G11" s="1807"/>
      <c r="H11" s="1807"/>
      <c r="I11" s="1786"/>
      <c r="J11" s="1813"/>
      <c r="K11" s="1813"/>
      <c r="L11" s="1782"/>
      <c r="M11" s="1809"/>
      <c r="N11" s="1811"/>
      <c r="O11" s="1811"/>
      <c r="P11" s="1773"/>
      <c r="Q11" s="1773"/>
      <c r="R11" s="1773"/>
      <c r="S11" s="1799"/>
      <c r="T11" s="1803"/>
      <c r="U11" s="1804"/>
    </row>
    <row r="12" spans="1:21">
      <c r="A12" s="1779"/>
      <c r="B12" s="1763" t="s">
        <v>123</v>
      </c>
      <c r="C12" s="1764"/>
      <c r="D12" s="1764"/>
      <c r="E12" s="1764"/>
      <c r="F12" s="1764"/>
      <c r="G12" s="1764"/>
      <c r="H12" s="1764"/>
      <c r="I12" s="1765"/>
      <c r="J12" s="1813"/>
      <c r="K12" s="1813"/>
      <c r="L12" s="1782"/>
      <c r="M12" s="1809"/>
      <c r="N12" s="1811"/>
      <c r="O12" s="1811"/>
      <c r="P12" s="1773"/>
      <c r="Q12" s="1773"/>
      <c r="R12" s="1773"/>
      <c r="S12" s="1799"/>
      <c r="T12" s="1803"/>
      <c r="U12" s="1804"/>
    </row>
    <row r="13" spans="1:21">
      <c r="A13" s="1779"/>
      <c r="B13" s="1766"/>
      <c r="C13" s="1767"/>
      <c r="D13" s="1767"/>
      <c r="E13" s="1767"/>
      <c r="F13" s="1767"/>
      <c r="G13" s="1767"/>
      <c r="H13" s="1767"/>
      <c r="I13" s="1768"/>
      <c r="J13" s="1813"/>
      <c r="K13" s="1813"/>
      <c r="L13" s="1782"/>
      <c r="M13" s="1809"/>
      <c r="N13" s="1811"/>
      <c r="O13" s="1811"/>
      <c r="P13" s="1773"/>
      <c r="Q13" s="1773"/>
      <c r="R13" s="1773"/>
      <c r="S13" s="1799"/>
      <c r="T13" s="1803"/>
      <c r="U13" s="1804"/>
    </row>
    <row r="14" spans="1:21">
      <c r="A14" s="1779"/>
      <c r="B14" s="1766"/>
      <c r="C14" s="1767"/>
      <c r="D14" s="1767"/>
      <c r="E14" s="1767"/>
      <c r="F14" s="1767"/>
      <c r="G14" s="1767"/>
      <c r="H14" s="1767"/>
      <c r="I14" s="1768"/>
      <c r="J14" s="1813"/>
      <c r="K14" s="1813"/>
      <c r="L14" s="1782"/>
      <c r="M14" s="1809"/>
      <c r="N14" s="1811"/>
      <c r="O14" s="1811"/>
      <c r="P14" s="1773"/>
      <c r="Q14" s="1773"/>
      <c r="R14" s="1773"/>
      <c r="S14" s="1799"/>
      <c r="T14" s="1803"/>
      <c r="U14" s="1804"/>
    </row>
    <row r="15" spans="1:21" ht="3" customHeight="1" thickBot="1">
      <c r="A15" s="1780"/>
      <c r="B15" s="1769"/>
      <c r="C15" s="1770"/>
      <c r="D15" s="1770"/>
      <c r="E15" s="1770"/>
      <c r="F15" s="1770"/>
      <c r="G15" s="1770"/>
      <c r="H15" s="1770"/>
      <c r="I15" s="1771"/>
      <c r="J15" s="1814"/>
      <c r="K15" s="1814"/>
      <c r="L15" s="1815"/>
      <c r="M15" s="1810"/>
      <c r="N15" s="1812"/>
      <c r="O15" s="1812"/>
      <c r="P15" s="1774"/>
      <c r="Q15" s="1775"/>
      <c r="R15" s="1775"/>
      <c r="S15" s="1800"/>
      <c r="T15" s="1805"/>
      <c r="U15" s="1806"/>
    </row>
    <row r="16" spans="1:21" ht="13.5" customHeight="1" thickTop="1" thickBot="1">
      <c r="A16" s="56"/>
      <c r="B16" s="68"/>
      <c r="C16" s="68"/>
      <c r="D16" s="68"/>
      <c r="E16" s="68"/>
      <c r="F16" s="68"/>
      <c r="G16" s="68"/>
      <c r="H16" s="68"/>
      <c r="I16" s="68"/>
      <c r="J16" s="56"/>
      <c r="K16" s="56"/>
      <c r="L16" s="56"/>
      <c r="M16" s="56"/>
      <c r="N16" s="56"/>
      <c r="O16" s="56"/>
      <c r="P16" s="669"/>
      <c r="Q16" s="669"/>
      <c r="S16" s="669"/>
      <c r="T16" s="58"/>
      <c r="U16" s="59"/>
    </row>
    <row r="17" spans="1:21" ht="13.5" customHeight="1" thickTop="1">
      <c r="A17" s="1683">
        <v>1</v>
      </c>
      <c r="B17" s="1687" t="s">
        <v>106</v>
      </c>
      <c r="C17" s="1688"/>
      <c r="D17" s="1688">
        <v>700</v>
      </c>
      <c r="E17" s="1688"/>
      <c r="F17" s="1691" t="s">
        <v>431</v>
      </c>
      <c r="G17" s="1691"/>
      <c r="H17" s="1691"/>
      <c r="I17" s="1691"/>
      <c r="J17" s="1692">
        <v>2012</v>
      </c>
      <c r="K17" s="1760">
        <v>2014</v>
      </c>
      <c r="L17" s="1694">
        <v>2930000</v>
      </c>
      <c r="M17" s="1696" t="s">
        <v>125</v>
      </c>
      <c r="N17" s="1672">
        <f>SUM(N21:N28)</f>
        <v>2860000</v>
      </c>
      <c r="O17" s="1671" t="s">
        <v>117</v>
      </c>
      <c r="P17" s="1672">
        <f>SUM(P21:P28)</f>
        <v>2600000</v>
      </c>
      <c r="Q17" s="1672">
        <f t="shared" ref="Q17:S17" si="0">SUM(Q21:Q28)</f>
        <v>260000</v>
      </c>
      <c r="R17" s="1672">
        <f t="shared" si="0"/>
        <v>0</v>
      </c>
      <c r="S17" s="1672">
        <f t="shared" si="0"/>
        <v>0</v>
      </c>
      <c r="T17" s="1673">
        <f>SUM(U21:U28)</f>
        <v>2860000</v>
      </c>
      <c r="U17" s="1674"/>
    </row>
    <row r="18" spans="1:21">
      <c r="A18" s="1684"/>
      <c r="B18" s="1689"/>
      <c r="C18" s="1690"/>
      <c r="D18" s="1690"/>
      <c r="E18" s="1690"/>
      <c r="F18" s="1681"/>
      <c r="G18" s="1681"/>
      <c r="H18" s="1681"/>
      <c r="I18" s="1681"/>
      <c r="J18" s="1664"/>
      <c r="K18" s="1761"/>
      <c r="L18" s="1744"/>
      <c r="M18" s="1697"/>
      <c r="N18" s="1660"/>
      <c r="O18" s="1651"/>
      <c r="P18" s="1660"/>
      <c r="Q18" s="1660"/>
      <c r="R18" s="1660"/>
      <c r="S18" s="1660"/>
      <c r="T18" s="1675"/>
      <c r="U18" s="1676"/>
    </row>
    <row r="19" spans="1:21" ht="12.75" customHeight="1">
      <c r="A19" s="1684"/>
      <c r="B19" s="1679" t="s">
        <v>112</v>
      </c>
      <c r="C19" s="1651"/>
      <c r="D19" s="1651">
        <v>70095</v>
      </c>
      <c r="E19" s="1651"/>
      <c r="F19" s="1681" t="s">
        <v>139</v>
      </c>
      <c r="G19" s="1681"/>
      <c r="H19" s="1681"/>
      <c r="I19" s="1681"/>
      <c r="J19" s="1664"/>
      <c r="K19" s="1761"/>
      <c r="L19" s="1744"/>
      <c r="M19" s="1697"/>
      <c r="N19" s="1660"/>
      <c r="O19" s="1651"/>
      <c r="P19" s="1660"/>
      <c r="Q19" s="1660"/>
      <c r="R19" s="1660"/>
      <c r="S19" s="1660"/>
      <c r="T19" s="1675"/>
      <c r="U19" s="1676"/>
    </row>
    <row r="20" spans="1:21">
      <c r="A20" s="1684"/>
      <c r="B20" s="1680"/>
      <c r="C20" s="1663"/>
      <c r="D20" s="1663"/>
      <c r="E20" s="1663"/>
      <c r="F20" s="1682"/>
      <c r="G20" s="1682"/>
      <c r="H20" s="1682"/>
      <c r="I20" s="1682"/>
      <c r="J20" s="1664"/>
      <c r="K20" s="1761"/>
      <c r="L20" s="1744"/>
      <c r="M20" s="1697"/>
      <c r="N20" s="1660"/>
      <c r="O20" s="1651"/>
      <c r="P20" s="1660"/>
      <c r="Q20" s="1660"/>
      <c r="R20" s="1660"/>
      <c r="S20" s="1660"/>
      <c r="T20" s="1677"/>
      <c r="U20" s="1678"/>
    </row>
    <row r="21" spans="1:21" ht="12.75" customHeight="1">
      <c r="A21" s="1685"/>
      <c r="B21" s="1698" t="s">
        <v>432</v>
      </c>
      <c r="C21" s="1699"/>
      <c r="D21" s="1699"/>
      <c r="E21" s="1699"/>
      <c r="F21" s="1699"/>
      <c r="G21" s="1699"/>
      <c r="H21" s="1699"/>
      <c r="I21" s="1700"/>
      <c r="J21" s="1693"/>
      <c r="K21" s="1761"/>
      <c r="L21" s="1744"/>
      <c r="M21" s="1759" t="s">
        <v>128</v>
      </c>
      <c r="N21" s="1655">
        <f>SUM(P21:S24)</f>
        <v>1040000</v>
      </c>
      <c r="O21" s="1651" t="s">
        <v>117</v>
      </c>
      <c r="P21" s="1652">
        <v>1040000</v>
      </c>
      <c r="Q21" s="1652">
        <v>0</v>
      </c>
      <c r="R21" s="1652">
        <v>0</v>
      </c>
      <c r="S21" s="1655">
        <v>0</v>
      </c>
      <c r="T21" s="1656">
        <f>$P$7</f>
        <v>2013</v>
      </c>
      <c r="U21" s="1658">
        <f>P17</f>
        <v>2600000</v>
      </c>
    </row>
    <row r="22" spans="1:21">
      <c r="A22" s="1685"/>
      <c r="B22" s="1701"/>
      <c r="C22" s="1702"/>
      <c r="D22" s="1702"/>
      <c r="E22" s="1702"/>
      <c r="F22" s="1702"/>
      <c r="G22" s="1702"/>
      <c r="H22" s="1702"/>
      <c r="I22" s="1703"/>
      <c r="J22" s="1693"/>
      <c r="K22" s="1761"/>
      <c r="L22" s="1745"/>
      <c r="M22" s="1759"/>
      <c r="N22" s="1655"/>
      <c r="O22" s="1651"/>
      <c r="P22" s="1653"/>
      <c r="Q22" s="1653"/>
      <c r="R22" s="1653"/>
      <c r="S22" s="1655"/>
      <c r="T22" s="1657"/>
      <c r="U22" s="1659"/>
    </row>
    <row r="23" spans="1:21">
      <c r="A23" s="1685"/>
      <c r="B23" s="1701"/>
      <c r="C23" s="1702"/>
      <c r="D23" s="1702"/>
      <c r="E23" s="1702"/>
      <c r="F23" s="1702"/>
      <c r="G23" s="1702"/>
      <c r="H23" s="1702"/>
      <c r="I23" s="1703"/>
      <c r="J23" s="1693"/>
      <c r="K23" s="1664"/>
      <c r="L23" s="1743">
        <v>70000</v>
      </c>
      <c r="M23" s="1651"/>
      <c r="N23" s="1655"/>
      <c r="O23" s="1651"/>
      <c r="P23" s="1653"/>
      <c r="Q23" s="1653"/>
      <c r="R23" s="1653"/>
      <c r="S23" s="1655"/>
      <c r="T23" s="1662">
        <f>$Q$7</f>
        <v>2014</v>
      </c>
      <c r="U23" s="1659">
        <f>Q17</f>
        <v>260000</v>
      </c>
    </row>
    <row r="24" spans="1:21">
      <c r="A24" s="1685"/>
      <c r="B24" s="1704"/>
      <c r="C24" s="1705"/>
      <c r="D24" s="1705"/>
      <c r="E24" s="1705"/>
      <c r="F24" s="1705"/>
      <c r="G24" s="1705"/>
      <c r="H24" s="1705"/>
      <c r="I24" s="1706"/>
      <c r="J24" s="1693"/>
      <c r="K24" s="1664"/>
      <c r="L24" s="1744"/>
      <c r="M24" s="1663"/>
      <c r="N24" s="1652"/>
      <c r="O24" s="1651"/>
      <c r="P24" s="1654"/>
      <c r="Q24" s="1654"/>
      <c r="R24" s="1654"/>
      <c r="S24" s="1655"/>
      <c r="T24" s="1662"/>
      <c r="U24" s="1659"/>
    </row>
    <row r="25" spans="1:21" ht="12.75" customHeight="1">
      <c r="A25" s="1685"/>
      <c r="B25" s="1707" t="s">
        <v>349</v>
      </c>
      <c r="C25" s="1708"/>
      <c r="D25" s="1708"/>
      <c r="E25" s="1708"/>
      <c r="F25" s="1708"/>
      <c r="G25" s="1708"/>
      <c r="H25" s="1708"/>
      <c r="I25" s="1709"/>
      <c r="J25" s="1664"/>
      <c r="K25" s="1664"/>
      <c r="L25" s="1744"/>
      <c r="M25" s="1663" t="s">
        <v>129</v>
      </c>
      <c r="N25" s="1655">
        <f>SUM(P25:S28)</f>
        <v>1820000</v>
      </c>
      <c r="O25" s="1651" t="s">
        <v>117</v>
      </c>
      <c r="P25" s="1652">
        <v>1560000</v>
      </c>
      <c r="Q25" s="1652">
        <v>260000</v>
      </c>
      <c r="R25" s="1652">
        <v>0</v>
      </c>
      <c r="S25" s="1655">
        <v>0</v>
      </c>
      <c r="T25" s="1662">
        <f>$R$7</f>
        <v>2015</v>
      </c>
      <c r="U25" s="1659">
        <f>R17</f>
        <v>0</v>
      </c>
    </row>
    <row r="26" spans="1:21">
      <c r="A26" s="1685"/>
      <c r="B26" s="1707"/>
      <c r="C26" s="1708"/>
      <c r="D26" s="1708"/>
      <c r="E26" s="1708"/>
      <c r="F26" s="1708"/>
      <c r="G26" s="1708"/>
      <c r="H26" s="1708"/>
      <c r="I26" s="1709"/>
      <c r="J26" s="1664"/>
      <c r="K26" s="1664"/>
      <c r="L26" s="1744"/>
      <c r="M26" s="1664"/>
      <c r="N26" s="1655"/>
      <c r="O26" s="1651"/>
      <c r="P26" s="1653"/>
      <c r="Q26" s="1653"/>
      <c r="R26" s="1653"/>
      <c r="S26" s="1655"/>
      <c r="T26" s="1662"/>
      <c r="U26" s="1659"/>
    </row>
    <row r="27" spans="1:21">
      <c r="A27" s="1685"/>
      <c r="B27" s="1707"/>
      <c r="C27" s="1708"/>
      <c r="D27" s="1708"/>
      <c r="E27" s="1708"/>
      <c r="F27" s="1708"/>
      <c r="G27" s="1708"/>
      <c r="H27" s="1708"/>
      <c r="I27" s="1709"/>
      <c r="J27" s="1664"/>
      <c r="K27" s="1664"/>
      <c r="L27" s="1744"/>
      <c r="M27" s="1664"/>
      <c r="N27" s="1655"/>
      <c r="O27" s="1651"/>
      <c r="P27" s="1653"/>
      <c r="Q27" s="1653"/>
      <c r="R27" s="1653"/>
      <c r="S27" s="1655"/>
      <c r="T27" s="1662">
        <f>$S$7</f>
        <v>2016</v>
      </c>
      <c r="U27" s="1659">
        <f>S17</f>
        <v>0</v>
      </c>
    </row>
    <row r="28" spans="1:21" ht="13.5" thickBot="1">
      <c r="A28" s="1686"/>
      <c r="B28" s="1710"/>
      <c r="C28" s="1711"/>
      <c r="D28" s="1711"/>
      <c r="E28" s="1711"/>
      <c r="F28" s="1711"/>
      <c r="G28" s="1711"/>
      <c r="H28" s="1711"/>
      <c r="I28" s="1712"/>
      <c r="J28" s="1665"/>
      <c r="K28" s="1665"/>
      <c r="L28" s="1762"/>
      <c r="M28" s="1665"/>
      <c r="N28" s="1666"/>
      <c r="O28" s="1667"/>
      <c r="P28" s="1668"/>
      <c r="Q28" s="1668"/>
      <c r="R28" s="1668"/>
      <c r="S28" s="1666"/>
      <c r="T28" s="1669"/>
      <c r="U28" s="1670"/>
    </row>
    <row r="29" spans="1:21" ht="15" customHeight="1" thickTop="1" thickBot="1">
      <c r="A29" s="194"/>
      <c r="B29" s="68"/>
      <c r="C29" s="68"/>
      <c r="D29" s="68"/>
      <c r="E29" s="68"/>
      <c r="F29" s="68"/>
      <c r="G29" s="68"/>
      <c r="H29" s="68"/>
      <c r="I29" s="68"/>
      <c r="J29" s="65"/>
      <c r="K29" s="65"/>
      <c r="L29" s="64"/>
      <c r="M29" s="65"/>
      <c r="N29" s="195"/>
      <c r="O29" s="65"/>
      <c r="P29" s="671"/>
      <c r="Q29" s="671"/>
      <c r="R29" s="671"/>
      <c r="S29" s="671"/>
      <c r="T29" s="195"/>
      <c r="U29" s="196"/>
    </row>
    <row r="30" spans="1:21" ht="13.5" customHeight="1" thickTop="1">
      <c r="A30" s="1683">
        <v>2</v>
      </c>
      <c r="B30" s="1687" t="s">
        <v>106</v>
      </c>
      <c r="C30" s="1688"/>
      <c r="D30" s="1688">
        <v>921</v>
      </c>
      <c r="E30" s="1688"/>
      <c r="F30" s="1691" t="s">
        <v>124</v>
      </c>
      <c r="G30" s="1691"/>
      <c r="H30" s="1691"/>
      <c r="I30" s="1691"/>
      <c r="J30" s="1692">
        <v>2008</v>
      </c>
      <c r="K30" s="1760">
        <v>2014</v>
      </c>
      <c r="L30" s="1694">
        <v>12000000</v>
      </c>
      <c r="M30" s="1696" t="s">
        <v>125</v>
      </c>
      <c r="N30" s="1672">
        <f>SUM(N34:N41)</f>
        <v>11667194</v>
      </c>
      <c r="O30" s="1671" t="s">
        <v>117</v>
      </c>
      <c r="P30" s="1672">
        <f>SUM(P34:P41)</f>
        <v>7000000</v>
      </c>
      <c r="Q30" s="1672">
        <f t="shared" ref="Q30:S30" si="1">SUM(Q34:Q41)</f>
        <v>4667194</v>
      </c>
      <c r="R30" s="1672">
        <f t="shared" si="1"/>
        <v>0</v>
      </c>
      <c r="S30" s="1672">
        <f t="shared" si="1"/>
        <v>0</v>
      </c>
      <c r="T30" s="1673">
        <f>SUM(U34:U41)</f>
        <v>11667194</v>
      </c>
      <c r="U30" s="1674"/>
    </row>
    <row r="31" spans="1:21">
      <c r="A31" s="1684"/>
      <c r="B31" s="1689"/>
      <c r="C31" s="1690"/>
      <c r="D31" s="1690"/>
      <c r="E31" s="1690"/>
      <c r="F31" s="1681"/>
      <c r="G31" s="1681"/>
      <c r="H31" s="1681"/>
      <c r="I31" s="1681"/>
      <c r="J31" s="1664"/>
      <c r="K31" s="1761"/>
      <c r="L31" s="1744"/>
      <c r="M31" s="1697"/>
      <c r="N31" s="1660"/>
      <c r="O31" s="1651"/>
      <c r="P31" s="1660"/>
      <c r="Q31" s="1660"/>
      <c r="R31" s="1660"/>
      <c r="S31" s="1660"/>
      <c r="T31" s="1675"/>
      <c r="U31" s="1676"/>
    </row>
    <row r="32" spans="1:21" ht="12.75" customHeight="1">
      <c r="A32" s="1684"/>
      <c r="B32" s="1679" t="s">
        <v>112</v>
      </c>
      <c r="C32" s="1651"/>
      <c r="D32" s="1651">
        <v>92118</v>
      </c>
      <c r="E32" s="1651"/>
      <c r="F32" s="1681" t="s">
        <v>126</v>
      </c>
      <c r="G32" s="1681"/>
      <c r="H32" s="1681"/>
      <c r="I32" s="1681"/>
      <c r="J32" s="1664"/>
      <c r="K32" s="1761"/>
      <c r="L32" s="1744"/>
      <c r="M32" s="1697"/>
      <c r="N32" s="1660"/>
      <c r="O32" s="1651"/>
      <c r="P32" s="1660"/>
      <c r="Q32" s="1660"/>
      <c r="R32" s="1660"/>
      <c r="S32" s="1660"/>
      <c r="T32" s="1675"/>
      <c r="U32" s="1676"/>
    </row>
    <row r="33" spans="1:21">
      <c r="A33" s="1684"/>
      <c r="B33" s="1680"/>
      <c r="C33" s="1663"/>
      <c r="D33" s="1663"/>
      <c r="E33" s="1663"/>
      <c r="F33" s="1682"/>
      <c r="G33" s="1682"/>
      <c r="H33" s="1682"/>
      <c r="I33" s="1682"/>
      <c r="J33" s="1664"/>
      <c r="K33" s="1761"/>
      <c r="L33" s="1744"/>
      <c r="M33" s="1697"/>
      <c r="N33" s="1660"/>
      <c r="O33" s="1651"/>
      <c r="P33" s="1660"/>
      <c r="Q33" s="1660"/>
      <c r="R33" s="1660"/>
      <c r="S33" s="1660"/>
      <c r="T33" s="1677"/>
      <c r="U33" s="1678"/>
    </row>
    <row r="34" spans="1:21" ht="12.75" customHeight="1">
      <c r="A34" s="1685"/>
      <c r="B34" s="1698" t="s">
        <v>127</v>
      </c>
      <c r="C34" s="1699"/>
      <c r="D34" s="1699"/>
      <c r="E34" s="1699"/>
      <c r="F34" s="1699"/>
      <c r="G34" s="1699"/>
      <c r="H34" s="1699"/>
      <c r="I34" s="1700"/>
      <c r="J34" s="1693"/>
      <c r="K34" s="1761"/>
      <c r="L34" s="1744"/>
      <c r="M34" s="1759" t="s">
        <v>128</v>
      </c>
      <c r="N34" s="1655">
        <f>SUM(P34:S37)</f>
        <v>8076860</v>
      </c>
      <c r="O34" s="1651" t="s">
        <v>117</v>
      </c>
      <c r="P34" s="1652">
        <v>4800000</v>
      </c>
      <c r="Q34" s="1652">
        <v>3276860</v>
      </c>
      <c r="R34" s="1652">
        <v>0</v>
      </c>
      <c r="S34" s="1655">
        <v>0</v>
      </c>
      <c r="T34" s="1656">
        <f>$P$7</f>
        <v>2013</v>
      </c>
      <c r="U34" s="1658">
        <f>P30</f>
        <v>7000000</v>
      </c>
    </row>
    <row r="35" spans="1:21">
      <c r="A35" s="1685"/>
      <c r="B35" s="1701"/>
      <c r="C35" s="1702"/>
      <c r="D35" s="1702"/>
      <c r="E35" s="1702"/>
      <c r="F35" s="1702"/>
      <c r="G35" s="1702"/>
      <c r="H35" s="1702"/>
      <c r="I35" s="1703"/>
      <c r="J35" s="1693"/>
      <c r="K35" s="1761"/>
      <c r="L35" s="1745"/>
      <c r="M35" s="1759"/>
      <c r="N35" s="1655"/>
      <c r="O35" s="1651"/>
      <c r="P35" s="1653"/>
      <c r="Q35" s="1653"/>
      <c r="R35" s="1653"/>
      <c r="S35" s="1655"/>
      <c r="T35" s="1657"/>
      <c r="U35" s="1659"/>
    </row>
    <row r="36" spans="1:21">
      <c r="A36" s="1685"/>
      <c r="B36" s="1701"/>
      <c r="C36" s="1702"/>
      <c r="D36" s="1702"/>
      <c r="E36" s="1702"/>
      <c r="F36" s="1702"/>
      <c r="G36" s="1702"/>
      <c r="H36" s="1702"/>
      <c r="I36" s="1703"/>
      <c r="J36" s="1693"/>
      <c r="K36" s="1664"/>
      <c r="L36" s="1756">
        <f>102806+230000</f>
        <v>332806</v>
      </c>
      <c r="M36" s="1651"/>
      <c r="N36" s="1655"/>
      <c r="O36" s="1651"/>
      <c r="P36" s="1653"/>
      <c r="Q36" s="1653"/>
      <c r="R36" s="1653"/>
      <c r="S36" s="1655"/>
      <c r="T36" s="1662">
        <f>$Q$7</f>
        <v>2014</v>
      </c>
      <c r="U36" s="1659">
        <f>Q30</f>
        <v>4667194</v>
      </c>
    </row>
    <row r="37" spans="1:21">
      <c r="A37" s="1685"/>
      <c r="B37" s="1704"/>
      <c r="C37" s="1705"/>
      <c r="D37" s="1705"/>
      <c r="E37" s="1705"/>
      <c r="F37" s="1705"/>
      <c r="G37" s="1705"/>
      <c r="H37" s="1705"/>
      <c r="I37" s="1706"/>
      <c r="J37" s="1693"/>
      <c r="K37" s="1664"/>
      <c r="L37" s="1757"/>
      <c r="M37" s="1663"/>
      <c r="N37" s="1652"/>
      <c r="O37" s="1651"/>
      <c r="P37" s="1654"/>
      <c r="Q37" s="1654"/>
      <c r="R37" s="1654"/>
      <c r="S37" s="1655"/>
      <c r="T37" s="1662"/>
      <c r="U37" s="1659"/>
    </row>
    <row r="38" spans="1:21" ht="12.75" customHeight="1">
      <c r="A38" s="1685"/>
      <c r="B38" s="1707" t="s">
        <v>349</v>
      </c>
      <c r="C38" s="1708"/>
      <c r="D38" s="1708"/>
      <c r="E38" s="1708"/>
      <c r="F38" s="1708"/>
      <c r="G38" s="1708"/>
      <c r="H38" s="1708"/>
      <c r="I38" s="1709"/>
      <c r="J38" s="1664"/>
      <c r="K38" s="1664"/>
      <c r="L38" s="1757"/>
      <c r="M38" s="1663" t="s">
        <v>129</v>
      </c>
      <c r="N38" s="1655">
        <f>SUM(P38:S41)</f>
        <v>3590334</v>
      </c>
      <c r="O38" s="1651" t="s">
        <v>117</v>
      </c>
      <c r="P38" s="1652">
        <v>2200000</v>
      </c>
      <c r="Q38" s="1652">
        <v>1390334</v>
      </c>
      <c r="R38" s="1652">
        <v>0</v>
      </c>
      <c r="S38" s="1655">
        <v>0</v>
      </c>
      <c r="T38" s="1662">
        <f>$R$7</f>
        <v>2015</v>
      </c>
      <c r="U38" s="1659">
        <f>Q32</f>
        <v>0</v>
      </c>
    </row>
    <row r="39" spans="1:21">
      <c r="A39" s="1685"/>
      <c r="B39" s="1707"/>
      <c r="C39" s="1708"/>
      <c r="D39" s="1708"/>
      <c r="E39" s="1708"/>
      <c r="F39" s="1708"/>
      <c r="G39" s="1708"/>
      <c r="H39" s="1708"/>
      <c r="I39" s="1709"/>
      <c r="J39" s="1664"/>
      <c r="K39" s="1664"/>
      <c r="L39" s="1757"/>
      <c r="M39" s="1664"/>
      <c r="N39" s="1655"/>
      <c r="O39" s="1651"/>
      <c r="P39" s="1653"/>
      <c r="Q39" s="1653"/>
      <c r="R39" s="1653"/>
      <c r="S39" s="1655"/>
      <c r="T39" s="1662"/>
      <c r="U39" s="1659"/>
    </row>
    <row r="40" spans="1:21">
      <c r="A40" s="1685"/>
      <c r="B40" s="1707"/>
      <c r="C40" s="1708"/>
      <c r="D40" s="1708"/>
      <c r="E40" s="1708"/>
      <c r="F40" s="1708"/>
      <c r="G40" s="1708"/>
      <c r="H40" s="1708"/>
      <c r="I40" s="1709"/>
      <c r="J40" s="1664"/>
      <c r="K40" s="1664"/>
      <c r="L40" s="1757"/>
      <c r="M40" s="1664"/>
      <c r="N40" s="1655"/>
      <c r="O40" s="1651"/>
      <c r="P40" s="1653"/>
      <c r="Q40" s="1653"/>
      <c r="R40" s="1653"/>
      <c r="S40" s="1655"/>
      <c r="T40" s="1662">
        <f>$S$7</f>
        <v>2016</v>
      </c>
      <c r="U40" s="1659">
        <f>S30</f>
        <v>0</v>
      </c>
    </row>
    <row r="41" spans="1:21" ht="13.5" thickBot="1">
      <c r="A41" s="1686"/>
      <c r="B41" s="1710"/>
      <c r="C41" s="1711"/>
      <c r="D41" s="1711"/>
      <c r="E41" s="1711"/>
      <c r="F41" s="1711"/>
      <c r="G41" s="1711"/>
      <c r="H41" s="1711"/>
      <c r="I41" s="1712"/>
      <c r="J41" s="1665"/>
      <c r="K41" s="1665"/>
      <c r="L41" s="1758"/>
      <c r="M41" s="1665"/>
      <c r="N41" s="1666"/>
      <c r="O41" s="1667"/>
      <c r="P41" s="1668"/>
      <c r="Q41" s="1668"/>
      <c r="R41" s="1668"/>
      <c r="S41" s="1666"/>
      <c r="T41" s="1669"/>
      <c r="U41" s="1670"/>
    </row>
    <row r="42" spans="1:21" ht="14.25" customHeight="1" thickTop="1" thickBot="1">
      <c r="A42" s="694"/>
      <c r="B42" s="693"/>
      <c r="C42" s="693"/>
      <c r="D42" s="693"/>
      <c r="E42" s="693"/>
      <c r="F42" s="693"/>
      <c r="G42" s="693"/>
      <c r="H42" s="693"/>
      <c r="I42" s="693"/>
      <c r="J42" s="65"/>
      <c r="K42" s="65"/>
      <c r="L42" s="64"/>
      <c r="M42" s="65"/>
      <c r="N42" s="195"/>
      <c r="O42" s="65"/>
      <c r="P42" s="195"/>
      <c r="Q42" s="195"/>
      <c r="R42" s="195"/>
      <c r="S42" s="195"/>
      <c r="T42" s="195"/>
      <c r="U42" s="196"/>
    </row>
    <row r="43" spans="1:21" ht="13.5" customHeight="1" thickTop="1">
      <c r="A43" s="1683">
        <v>3</v>
      </c>
      <c r="B43" s="1687" t="s">
        <v>106</v>
      </c>
      <c r="C43" s="1688"/>
      <c r="D43" s="1688">
        <v>600</v>
      </c>
      <c r="E43" s="1688"/>
      <c r="F43" s="1691" t="s">
        <v>130</v>
      </c>
      <c r="G43" s="1691"/>
      <c r="H43" s="1691"/>
      <c r="I43" s="1691"/>
      <c r="J43" s="1692">
        <v>2011</v>
      </c>
      <c r="K43" s="1692">
        <v>2013</v>
      </c>
      <c r="L43" s="1694">
        <v>1391286</v>
      </c>
      <c r="M43" s="1696" t="s">
        <v>125</v>
      </c>
      <c r="N43" s="1672">
        <f>IF(SUM(N47:N54)=T43,SUM(N47:N54),"wielbłąd")</f>
        <v>205500</v>
      </c>
      <c r="O43" s="1671" t="s">
        <v>117</v>
      </c>
      <c r="P43" s="1672">
        <f>SUM(P47:P54)</f>
        <v>205500</v>
      </c>
      <c r="Q43" s="1672">
        <f t="shared" ref="Q43:S43" si="2">SUM(Q47:Q54)</f>
        <v>0</v>
      </c>
      <c r="R43" s="1672">
        <f t="shared" si="2"/>
        <v>0</v>
      </c>
      <c r="S43" s="1672">
        <f t="shared" si="2"/>
        <v>0</v>
      </c>
      <c r="T43" s="1673">
        <f>SUM(U47:U54)</f>
        <v>205500</v>
      </c>
      <c r="U43" s="1674"/>
    </row>
    <row r="44" spans="1:21">
      <c r="A44" s="1684"/>
      <c r="B44" s="1689"/>
      <c r="C44" s="1690"/>
      <c r="D44" s="1690"/>
      <c r="E44" s="1690"/>
      <c r="F44" s="1681"/>
      <c r="G44" s="1681"/>
      <c r="H44" s="1681"/>
      <c r="I44" s="1681"/>
      <c r="J44" s="1664"/>
      <c r="K44" s="1664"/>
      <c r="L44" s="1695"/>
      <c r="M44" s="1697"/>
      <c r="N44" s="1660"/>
      <c r="O44" s="1651"/>
      <c r="P44" s="1660"/>
      <c r="Q44" s="1660"/>
      <c r="R44" s="1660"/>
      <c r="S44" s="1660"/>
      <c r="T44" s="1675"/>
      <c r="U44" s="1676"/>
    </row>
    <row r="45" spans="1:21" ht="12.75" customHeight="1">
      <c r="A45" s="1684"/>
      <c r="B45" s="1679" t="s">
        <v>112</v>
      </c>
      <c r="C45" s="1651"/>
      <c r="D45" s="1651">
        <v>60015</v>
      </c>
      <c r="E45" s="1651"/>
      <c r="F45" s="1746" t="s">
        <v>131</v>
      </c>
      <c r="G45" s="1746"/>
      <c r="H45" s="1746"/>
      <c r="I45" s="1746"/>
      <c r="J45" s="1664"/>
      <c r="K45" s="1664"/>
      <c r="L45" s="1695"/>
      <c r="M45" s="1697"/>
      <c r="N45" s="1660"/>
      <c r="O45" s="1651"/>
      <c r="P45" s="1660"/>
      <c r="Q45" s="1660"/>
      <c r="R45" s="1660"/>
      <c r="S45" s="1660"/>
      <c r="T45" s="1675"/>
      <c r="U45" s="1676"/>
    </row>
    <row r="46" spans="1:21" ht="12.75" customHeight="1">
      <c r="A46" s="1684"/>
      <c r="B46" s="1680"/>
      <c r="C46" s="1663"/>
      <c r="D46" s="1663"/>
      <c r="E46" s="1663"/>
      <c r="F46" s="1747"/>
      <c r="G46" s="1747"/>
      <c r="H46" s="1747"/>
      <c r="I46" s="1747"/>
      <c r="J46" s="1664"/>
      <c r="K46" s="1664"/>
      <c r="L46" s="1695"/>
      <c r="M46" s="1697"/>
      <c r="N46" s="1660"/>
      <c r="O46" s="1651"/>
      <c r="P46" s="1660"/>
      <c r="Q46" s="1660"/>
      <c r="R46" s="1660"/>
      <c r="S46" s="1660"/>
      <c r="T46" s="1677"/>
      <c r="U46" s="1678"/>
    </row>
    <row r="47" spans="1:21" ht="12.75" customHeight="1">
      <c r="A47" s="1685"/>
      <c r="B47" s="1698" t="s">
        <v>132</v>
      </c>
      <c r="C47" s="1699"/>
      <c r="D47" s="1699"/>
      <c r="E47" s="1699"/>
      <c r="F47" s="1699"/>
      <c r="G47" s="1699"/>
      <c r="H47" s="1699"/>
      <c r="I47" s="1700"/>
      <c r="J47" s="1693"/>
      <c r="K47" s="1664"/>
      <c r="L47" s="1695"/>
      <c r="M47" s="1651" t="s">
        <v>128</v>
      </c>
      <c r="N47" s="1655">
        <f>SUM(P47:S50)</f>
        <v>0</v>
      </c>
      <c r="O47" s="1651" t="s">
        <v>117</v>
      </c>
      <c r="P47" s="1655">
        <v>0</v>
      </c>
      <c r="Q47" s="1655">
        <v>0</v>
      </c>
      <c r="R47" s="1655">
        <v>0</v>
      </c>
      <c r="S47" s="1655">
        <v>0</v>
      </c>
      <c r="T47" s="1656">
        <f>$P$7</f>
        <v>2013</v>
      </c>
      <c r="U47" s="1658">
        <f>P43</f>
        <v>205500</v>
      </c>
    </row>
    <row r="48" spans="1:21">
      <c r="A48" s="1685"/>
      <c r="B48" s="1701"/>
      <c r="C48" s="1702"/>
      <c r="D48" s="1702"/>
      <c r="E48" s="1702"/>
      <c r="F48" s="1702"/>
      <c r="G48" s="1702"/>
      <c r="H48" s="1702"/>
      <c r="I48" s="1703"/>
      <c r="J48" s="1693"/>
      <c r="K48" s="1664"/>
      <c r="L48" s="1695"/>
      <c r="M48" s="1651"/>
      <c r="N48" s="1655"/>
      <c r="O48" s="1651"/>
      <c r="P48" s="1655"/>
      <c r="Q48" s="1655"/>
      <c r="R48" s="1655"/>
      <c r="S48" s="1655"/>
      <c r="T48" s="1657"/>
      <c r="U48" s="1659"/>
    </row>
    <row r="49" spans="1:21" ht="8.25" customHeight="1">
      <c r="A49" s="1685"/>
      <c r="B49" s="1701"/>
      <c r="C49" s="1702"/>
      <c r="D49" s="1702"/>
      <c r="E49" s="1702"/>
      <c r="F49" s="1702"/>
      <c r="G49" s="1702"/>
      <c r="H49" s="1702"/>
      <c r="I49" s="1703"/>
      <c r="J49" s="1693"/>
      <c r="K49" s="1664"/>
      <c r="L49" s="1660">
        <v>1185786</v>
      </c>
      <c r="M49" s="1651"/>
      <c r="N49" s="1655"/>
      <c r="O49" s="1651"/>
      <c r="P49" s="1655"/>
      <c r="Q49" s="1655"/>
      <c r="R49" s="1655"/>
      <c r="S49" s="1655"/>
      <c r="T49" s="1662">
        <f>$Q$7</f>
        <v>2014</v>
      </c>
      <c r="U49" s="1659">
        <f>Q43</f>
        <v>0</v>
      </c>
    </row>
    <row r="50" spans="1:21" ht="9" customHeight="1">
      <c r="A50" s="1685"/>
      <c r="B50" s="1704"/>
      <c r="C50" s="1705"/>
      <c r="D50" s="1705"/>
      <c r="E50" s="1705"/>
      <c r="F50" s="1705"/>
      <c r="G50" s="1705"/>
      <c r="H50" s="1705"/>
      <c r="I50" s="1706"/>
      <c r="J50" s="1693"/>
      <c r="K50" s="1664"/>
      <c r="L50" s="1660"/>
      <c r="M50" s="1651"/>
      <c r="N50" s="1652"/>
      <c r="O50" s="1651"/>
      <c r="P50" s="1652"/>
      <c r="Q50" s="1655"/>
      <c r="R50" s="1655"/>
      <c r="S50" s="1655"/>
      <c r="T50" s="1662"/>
      <c r="U50" s="1659"/>
    </row>
    <row r="51" spans="1:21" ht="12.75" customHeight="1">
      <c r="A51" s="1685"/>
      <c r="B51" s="1707" t="s">
        <v>350</v>
      </c>
      <c r="C51" s="1708"/>
      <c r="D51" s="1708"/>
      <c r="E51" s="1708"/>
      <c r="F51" s="1708"/>
      <c r="G51" s="1708"/>
      <c r="H51" s="1708"/>
      <c r="I51" s="1709"/>
      <c r="J51" s="1664"/>
      <c r="K51" s="1664"/>
      <c r="L51" s="1660"/>
      <c r="M51" s="1663" t="s">
        <v>129</v>
      </c>
      <c r="N51" s="1655">
        <f>SUM(P51:S54)</f>
        <v>205500</v>
      </c>
      <c r="O51" s="1651" t="s">
        <v>117</v>
      </c>
      <c r="P51" s="1655">
        <v>205500</v>
      </c>
      <c r="Q51" s="1655">
        <v>0</v>
      </c>
      <c r="R51" s="1655">
        <v>0</v>
      </c>
      <c r="S51" s="1655">
        <v>0</v>
      </c>
      <c r="T51" s="1662">
        <f>$R$7</f>
        <v>2015</v>
      </c>
      <c r="U51" s="1659">
        <f>R43</f>
        <v>0</v>
      </c>
    </row>
    <row r="52" spans="1:21">
      <c r="A52" s="1685"/>
      <c r="B52" s="1707"/>
      <c r="C52" s="1708"/>
      <c r="D52" s="1708"/>
      <c r="E52" s="1708"/>
      <c r="F52" s="1708"/>
      <c r="G52" s="1708"/>
      <c r="H52" s="1708"/>
      <c r="I52" s="1709"/>
      <c r="J52" s="1664"/>
      <c r="K52" s="1664"/>
      <c r="L52" s="1660"/>
      <c r="M52" s="1664"/>
      <c r="N52" s="1655"/>
      <c r="O52" s="1651"/>
      <c r="P52" s="1655"/>
      <c r="Q52" s="1655"/>
      <c r="R52" s="1655"/>
      <c r="S52" s="1655"/>
      <c r="T52" s="1662"/>
      <c r="U52" s="1659"/>
    </row>
    <row r="53" spans="1:21">
      <c r="A53" s="1685"/>
      <c r="B53" s="1707"/>
      <c r="C53" s="1708"/>
      <c r="D53" s="1708"/>
      <c r="E53" s="1708"/>
      <c r="F53" s="1708"/>
      <c r="G53" s="1708"/>
      <c r="H53" s="1708"/>
      <c r="I53" s="1709"/>
      <c r="J53" s="1664"/>
      <c r="K53" s="1664"/>
      <c r="L53" s="1660"/>
      <c r="M53" s="1664"/>
      <c r="N53" s="1655"/>
      <c r="O53" s="1651"/>
      <c r="P53" s="1655"/>
      <c r="Q53" s="1655"/>
      <c r="R53" s="1655"/>
      <c r="S53" s="1655"/>
      <c r="T53" s="1662">
        <f>$S$7</f>
        <v>2016</v>
      </c>
      <c r="U53" s="1659">
        <f>S43</f>
        <v>0</v>
      </c>
    </row>
    <row r="54" spans="1:21" ht="13.5" thickBot="1">
      <c r="A54" s="1686"/>
      <c r="B54" s="1710"/>
      <c r="C54" s="1711"/>
      <c r="D54" s="1711"/>
      <c r="E54" s="1711"/>
      <c r="F54" s="1711"/>
      <c r="G54" s="1711"/>
      <c r="H54" s="1711"/>
      <c r="I54" s="1712"/>
      <c r="J54" s="1665"/>
      <c r="K54" s="1665"/>
      <c r="L54" s="1661"/>
      <c r="M54" s="1665"/>
      <c r="N54" s="1666"/>
      <c r="O54" s="1667"/>
      <c r="P54" s="1666"/>
      <c r="Q54" s="1666"/>
      <c r="R54" s="1666"/>
      <c r="S54" s="1666"/>
      <c r="T54" s="1669"/>
      <c r="U54" s="1670"/>
    </row>
    <row r="55" spans="1:21" ht="15.75" customHeight="1" thickTop="1" thickBot="1">
      <c r="A55" s="694"/>
      <c r="B55" s="693"/>
      <c r="C55" s="693"/>
      <c r="D55" s="693"/>
      <c r="E55" s="693"/>
      <c r="F55" s="693"/>
      <c r="G55" s="693"/>
      <c r="H55" s="693"/>
      <c r="I55" s="693"/>
      <c r="J55" s="65"/>
      <c r="K55" s="65"/>
      <c r="L55" s="64"/>
      <c r="M55" s="65"/>
      <c r="N55" s="195"/>
      <c r="O55" s="65"/>
      <c r="P55" s="195"/>
      <c r="Q55" s="195"/>
      <c r="R55" s="195"/>
      <c r="S55" s="195"/>
      <c r="T55" s="195"/>
      <c r="U55" s="196"/>
    </row>
    <row r="56" spans="1:21" ht="13.5" hidden="1" customHeight="1" thickTop="1">
      <c r="A56" s="1683">
        <v>4</v>
      </c>
      <c r="B56" s="1687" t="s">
        <v>106</v>
      </c>
      <c r="C56" s="1688"/>
      <c r="D56" s="1688">
        <v>0</v>
      </c>
      <c r="E56" s="1688"/>
      <c r="F56" s="1691">
        <v>0</v>
      </c>
      <c r="G56" s="1691"/>
      <c r="H56" s="1691"/>
      <c r="I56" s="1691"/>
      <c r="J56" s="1692">
        <v>2008</v>
      </c>
      <c r="K56" s="1692">
        <v>2012</v>
      </c>
      <c r="L56" s="1694">
        <f>SUM(N56,L62)</f>
        <v>0</v>
      </c>
      <c r="M56" s="1696" t="s">
        <v>125</v>
      </c>
      <c r="N56" s="1672">
        <f>IF(SUM(N60:N67)=T56,SUM(N60:N67),"wielbłąd")</f>
        <v>0</v>
      </c>
      <c r="O56" s="1671" t="s">
        <v>117</v>
      </c>
      <c r="P56" s="1672">
        <f>SUM(P60:P67)</f>
        <v>0</v>
      </c>
      <c r="Q56" s="1672">
        <f t="shared" ref="Q56:S56" si="3">SUM(Q60:Q67)</f>
        <v>0</v>
      </c>
      <c r="R56" s="1672">
        <f t="shared" si="3"/>
        <v>0</v>
      </c>
      <c r="S56" s="1672">
        <f t="shared" si="3"/>
        <v>0</v>
      </c>
      <c r="T56" s="1673">
        <f>SUM(U60:U67)</f>
        <v>0</v>
      </c>
      <c r="U56" s="1674"/>
    </row>
    <row r="57" spans="1:21" hidden="1">
      <c r="A57" s="1684"/>
      <c r="B57" s="1689"/>
      <c r="C57" s="1690"/>
      <c r="D57" s="1690"/>
      <c r="E57" s="1690"/>
      <c r="F57" s="1681"/>
      <c r="G57" s="1681"/>
      <c r="H57" s="1681"/>
      <c r="I57" s="1681"/>
      <c r="J57" s="1664"/>
      <c r="K57" s="1664"/>
      <c r="L57" s="1695"/>
      <c r="M57" s="1697"/>
      <c r="N57" s="1660"/>
      <c r="O57" s="1651"/>
      <c r="P57" s="1660"/>
      <c r="Q57" s="1660"/>
      <c r="R57" s="1660"/>
      <c r="S57" s="1660"/>
      <c r="T57" s="1675"/>
      <c r="U57" s="1676"/>
    </row>
    <row r="58" spans="1:21" ht="12.75" hidden="1" customHeight="1">
      <c r="A58" s="1684"/>
      <c r="B58" s="1679" t="s">
        <v>112</v>
      </c>
      <c r="C58" s="1651"/>
      <c r="D58" s="1651">
        <v>0</v>
      </c>
      <c r="E58" s="1651"/>
      <c r="F58" s="1746">
        <v>0</v>
      </c>
      <c r="G58" s="1746"/>
      <c r="H58" s="1746"/>
      <c r="I58" s="1746"/>
      <c r="J58" s="1664"/>
      <c r="K58" s="1664"/>
      <c r="L58" s="1695"/>
      <c r="M58" s="1697"/>
      <c r="N58" s="1660"/>
      <c r="O58" s="1651"/>
      <c r="P58" s="1660"/>
      <c r="Q58" s="1660"/>
      <c r="R58" s="1660"/>
      <c r="S58" s="1660"/>
      <c r="T58" s="1675"/>
      <c r="U58" s="1676"/>
    </row>
    <row r="59" spans="1:21" hidden="1">
      <c r="A59" s="1684"/>
      <c r="B59" s="1680"/>
      <c r="C59" s="1663"/>
      <c r="D59" s="1663"/>
      <c r="E59" s="1663"/>
      <c r="F59" s="1747"/>
      <c r="G59" s="1747"/>
      <c r="H59" s="1747"/>
      <c r="I59" s="1747"/>
      <c r="J59" s="1664"/>
      <c r="K59" s="1664"/>
      <c r="L59" s="1695"/>
      <c r="M59" s="1697"/>
      <c r="N59" s="1660"/>
      <c r="O59" s="1651"/>
      <c r="P59" s="1660"/>
      <c r="Q59" s="1660"/>
      <c r="R59" s="1660"/>
      <c r="S59" s="1660"/>
      <c r="T59" s="1677"/>
      <c r="U59" s="1678"/>
    </row>
    <row r="60" spans="1:21" ht="12.75" hidden="1" customHeight="1">
      <c r="A60" s="1685"/>
      <c r="B60" s="1685">
        <v>0</v>
      </c>
      <c r="C60" s="1748"/>
      <c r="D60" s="1748"/>
      <c r="E60" s="1748"/>
      <c r="F60" s="1748"/>
      <c r="G60" s="1748"/>
      <c r="H60" s="1748"/>
      <c r="I60" s="1749"/>
      <c r="J60" s="1693"/>
      <c r="K60" s="1664"/>
      <c r="L60" s="1695"/>
      <c r="M60" s="1651" t="s">
        <v>128</v>
      </c>
      <c r="N60" s="1655">
        <f>SUM(P60:S63)</f>
        <v>0</v>
      </c>
      <c r="O60" s="1651" t="s">
        <v>117</v>
      </c>
      <c r="P60" s="1655">
        <v>0</v>
      </c>
      <c r="Q60" s="1655">
        <v>0</v>
      </c>
      <c r="R60" s="1655">
        <v>0</v>
      </c>
      <c r="S60" s="1655">
        <v>0</v>
      </c>
      <c r="T60" s="1656">
        <f>$P$7</f>
        <v>2013</v>
      </c>
      <c r="U60" s="1658">
        <f>P56</f>
        <v>0</v>
      </c>
    </row>
    <row r="61" spans="1:21" hidden="1">
      <c r="A61" s="1685"/>
      <c r="B61" s="1750"/>
      <c r="C61" s="1751"/>
      <c r="D61" s="1751"/>
      <c r="E61" s="1751"/>
      <c r="F61" s="1751"/>
      <c r="G61" s="1751"/>
      <c r="H61" s="1751"/>
      <c r="I61" s="1752"/>
      <c r="J61" s="1693"/>
      <c r="K61" s="1664"/>
      <c r="L61" s="1695"/>
      <c r="M61" s="1651"/>
      <c r="N61" s="1655"/>
      <c r="O61" s="1651"/>
      <c r="P61" s="1655"/>
      <c r="Q61" s="1655"/>
      <c r="R61" s="1655"/>
      <c r="S61" s="1655"/>
      <c r="T61" s="1657"/>
      <c r="U61" s="1659"/>
    </row>
    <row r="62" spans="1:21" hidden="1">
      <c r="A62" s="1685"/>
      <c r="B62" s="1750"/>
      <c r="C62" s="1751"/>
      <c r="D62" s="1751"/>
      <c r="E62" s="1751"/>
      <c r="F62" s="1751"/>
      <c r="G62" s="1751"/>
      <c r="H62" s="1751"/>
      <c r="I62" s="1752"/>
      <c r="J62" s="1693"/>
      <c r="K62" s="1664"/>
      <c r="L62" s="1660">
        <v>0</v>
      </c>
      <c r="M62" s="1651"/>
      <c r="N62" s="1655"/>
      <c r="O62" s="1651"/>
      <c r="P62" s="1655"/>
      <c r="Q62" s="1655"/>
      <c r="R62" s="1655"/>
      <c r="S62" s="1655"/>
      <c r="T62" s="1662">
        <f>$Q$7</f>
        <v>2014</v>
      </c>
      <c r="U62" s="1659">
        <f>Q56</f>
        <v>0</v>
      </c>
    </row>
    <row r="63" spans="1:21" hidden="1">
      <c r="A63" s="1685"/>
      <c r="B63" s="1753"/>
      <c r="C63" s="1754"/>
      <c r="D63" s="1754"/>
      <c r="E63" s="1754"/>
      <c r="F63" s="1754"/>
      <c r="G63" s="1754"/>
      <c r="H63" s="1754"/>
      <c r="I63" s="1755"/>
      <c r="J63" s="1693"/>
      <c r="K63" s="1664"/>
      <c r="L63" s="1660"/>
      <c r="M63" s="1651"/>
      <c r="N63" s="1652"/>
      <c r="O63" s="1651"/>
      <c r="P63" s="1652"/>
      <c r="Q63" s="1655"/>
      <c r="R63" s="1655"/>
      <c r="S63" s="1655"/>
      <c r="T63" s="1662"/>
      <c r="U63" s="1659"/>
    </row>
    <row r="64" spans="1:21" ht="12.75" hidden="1" customHeight="1">
      <c r="A64" s="1685"/>
      <c r="B64" s="1707">
        <v>0</v>
      </c>
      <c r="C64" s="1708"/>
      <c r="D64" s="1708"/>
      <c r="E64" s="1708"/>
      <c r="F64" s="1708"/>
      <c r="G64" s="1708"/>
      <c r="H64" s="1708"/>
      <c r="I64" s="1709"/>
      <c r="J64" s="1664"/>
      <c r="K64" s="1664"/>
      <c r="L64" s="1660"/>
      <c r="M64" s="1663" t="s">
        <v>129</v>
      </c>
      <c r="N64" s="1655">
        <f>SUM(P64:S67)</f>
        <v>0</v>
      </c>
      <c r="O64" s="1651" t="s">
        <v>117</v>
      </c>
      <c r="P64" s="1655">
        <v>0</v>
      </c>
      <c r="Q64" s="1655">
        <v>0</v>
      </c>
      <c r="R64" s="1655">
        <v>0</v>
      </c>
      <c r="S64" s="1655">
        <v>0</v>
      </c>
      <c r="T64" s="1662">
        <f>$R$7</f>
        <v>2015</v>
      </c>
      <c r="U64" s="1659">
        <f>R56</f>
        <v>0</v>
      </c>
    </row>
    <row r="65" spans="1:21" hidden="1">
      <c r="A65" s="1685"/>
      <c r="B65" s="1707"/>
      <c r="C65" s="1708"/>
      <c r="D65" s="1708"/>
      <c r="E65" s="1708"/>
      <c r="F65" s="1708"/>
      <c r="G65" s="1708"/>
      <c r="H65" s="1708"/>
      <c r="I65" s="1709"/>
      <c r="J65" s="1664"/>
      <c r="K65" s="1664"/>
      <c r="L65" s="1660"/>
      <c r="M65" s="1664"/>
      <c r="N65" s="1655"/>
      <c r="O65" s="1651"/>
      <c r="P65" s="1655"/>
      <c r="Q65" s="1655"/>
      <c r="R65" s="1655"/>
      <c r="S65" s="1655"/>
      <c r="T65" s="1662"/>
      <c r="U65" s="1659"/>
    </row>
    <row r="66" spans="1:21" hidden="1">
      <c r="A66" s="1685"/>
      <c r="B66" s="1707"/>
      <c r="C66" s="1708"/>
      <c r="D66" s="1708"/>
      <c r="E66" s="1708"/>
      <c r="F66" s="1708"/>
      <c r="G66" s="1708"/>
      <c r="H66" s="1708"/>
      <c r="I66" s="1709"/>
      <c r="J66" s="1664"/>
      <c r="K66" s="1664"/>
      <c r="L66" s="1660"/>
      <c r="M66" s="1664"/>
      <c r="N66" s="1655"/>
      <c r="O66" s="1651"/>
      <c r="P66" s="1655"/>
      <c r="Q66" s="1655"/>
      <c r="R66" s="1655"/>
      <c r="S66" s="1655"/>
      <c r="T66" s="1662">
        <f>$S$7</f>
        <v>2016</v>
      </c>
      <c r="U66" s="1659">
        <f>S56</f>
        <v>0</v>
      </c>
    </row>
    <row r="67" spans="1:21" ht="13.5" hidden="1" thickBot="1">
      <c r="A67" s="1686"/>
      <c r="B67" s="1710"/>
      <c r="C67" s="1711"/>
      <c r="D67" s="1711"/>
      <c r="E67" s="1711"/>
      <c r="F67" s="1711"/>
      <c r="G67" s="1711"/>
      <c r="H67" s="1711"/>
      <c r="I67" s="1712"/>
      <c r="J67" s="1665"/>
      <c r="K67" s="1665"/>
      <c r="L67" s="1661"/>
      <c r="M67" s="1665"/>
      <c r="N67" s="1666"/>
      <c r="O67" s="1667"/>
      <c r="P67" s="1666"/>
      <c r="Q67" s="1666"/>
      <c r="R67" s="1666"/>
      <c r="S67" s="1666"/>
      <c r="T67" s="1669"/>
      <c r="U67" s="1670"/>
    </row>
    <row r="68" spans="1:21" ht="17.25" hidden="1" customHeight="1" thickTop="1" thickBot="1">
      <c r="A68" s="694"/>
      <c r="B68" s="693"/>
      <c r="C68" s="693"/>
      <c r="D68" s="693"/>
      <c r="E68" s="693"/>
      <c r="F68" s="693"/>
      <c r="G68" s="693"/>
      <c r="H68" s="693"/>
      <c r="I68" s="693"/>
      <c r="J68" s="65"/>
      <c r="K68" s="65"/>
      <c r="L68" s="64"/>
      <c r="M68" s="65"/>
      <c r="N68" s="195"/>
      <c r="O68" s="65"/>
      <c r="P68" s="195"/>
      <c r="Q68" s="195"/>
      <c r="R68" s="195"/>
      <c r="S68" s="195"/>
      <c r="T68" s="195"/>
      <c r="U68" s="196"/>
    </row>
    <row r="69" spans="1:21" ht="13.5" customHeight="1" thickTop="1">
      <c r="A69" s="1683">
        <v>4</v>
      </c>
      <c r="B69" s="1687" t="s">
        <v>106</v>
      </c>
      <c r="C69" s="1688"/>
      <c r="D69" s="1688">
        <v>600</v>
      </c>
      <c r="E69" s="1688"/>
      <c r="F69" s="1691" t="s">
        <v>130</v>
      </c>
      <c r="G69" s="1691"/>
      <c r="H69" s="1691"/>
      <c r="I69" s="1691"/>
      <c r="J69" s="1692">
        <v>2011</v>
      </c>
      <c r="K69" s="1692">
        <v>2014</v>
      </c>
      <c r="L69" s="1694">
        <v>3229885</v>
      </c>
      <c r="M69" s="1696" t="s">
        <v>125</v>
      </c>
      <c r="N69" s="1672">
        <f>IF(SUM(N73:N80)=T69,SUM(N73:N80),"wielbłąd")</f>
        <v>3200000</v>
      </c>
      <c r="O69" s="1671" t="s">
        <v>117</v>
      </c>
      <c r="P69" s="1672">
        <f>SUM(P73:P80)</f>
        <v>800000</v>
      </c>
      <c r="Q69" s="1672">
        <f t="shared" ref="Q69:S69" si="4">SUM(Q73:Q80)</f>
        <v>2400000</v>
      </c>
      <c r="R69" s="1672">
        <f t="shared" si="4"/>
        <v>0</v>
      </c>
      <c r="S69" s="1672">
        <f t="shared" si="4"/>
        <v>0</v>
      </c>
      <c r="T69" s="1673">
        <f>SUM(U73:U80)</f>
        <v>3200000</v>
      </c>
      <c r="U69" s="1674"/>
    </row>
    <row r="70" spans="1:21">
      <c r="A70" s="1684"/>
      <c r="B70" s="1689"/>
      <c r="C70" s="1690"/>
      <c r="D70" s="1690"/>
      <c r="E70" s="1690"/>
      <c r="F70" s="1681"/>
      <c r="G70" s="1681"/>
      <c r="H70" s="1681"/>
      <c r="I70" s="1681"/>
      <c r="J70" s="1664"/>
      <c r="K70" s="1664"/>
      <c r="L70" s="1695"/>
      <c r="M70" s="1697"/>
      <c r="N70" s="1660"/>
      <c r="O70" s="1651"/>
      <c r="P70" s="1660"/>
      <c r="Q70" s="1660"/>
      <c r="R70" s="1660"/>
      <c r="S70" s="1660"/>
      <c r="T70" s="1675"/>
      <c r="U70" s="1676"/>
    </row>
    <row r="71" spans="1:21" ht="12.75" customHeight="1">
      <c r="A71" s="1684"/>
      <c r="B71" s="1679" t="s">
        <v>112</v>
      </c>
      <c r="C71" s="1651"/>
      <c r="D71" s="1651">
        <v>60016</v>
      </c>
      <c r="E71" s="1651"/>
      <c r="F71" s="1746" t="s">
        <v>133</v>
      </c>
      <c r="G71" s="1746"/>
      <c r="H71" s="1746"/>
      <c r="I71" s="1746"/>
      <c r="J71" s="1664"/>
      <c r="K71" s="1664"/>
      <c r="L71" s="1695"/>
      <c r="M71" s="1697"/>
      <c r="N71" s="1660"/>
      <c r="O71" s="1651"/>
      <c r="P71" s="1660"/>
      <c r="Q71" s="1660"/>
      <c r="R71" s="1660"/>
      <c r="S71" s="1660"/>
      <c r="T71" s="1675"/>
      <c r="U71" s="1676"/>
    </row>
    <row r="72" spans="1:21">
      <c r="A72" s="1684"/>
      <c r="B72" s="1680"/>
      <c r="C72" s="1663"/>
      <c r="D72" s="1663"/>
      <c r="E72" s="1663"/>
      <c r="F72" s="1747"/>
      <c r="G72" s="1747"/>
      <c r="H72" s="1747"/>
      <c r="I72" s="1747"/>
      <c r="J72" s="1664"/>
      <c r="K72" s="1664"/>
      <c r="L72" s="1695"/>
      <c r="M72" s="1697"/>
      <c r="N72" s="1660"/>
      <c r="O72" s="1651"/>
      <c r="P72" s="1660"/>
      <c r="Q72" s="1660"/>
      <c r="R72" s="1660"/>
      <c r="S72" s="1660"/>
      <c r="T72" s="1677"/>
      <c r="U72" s="1678"/>
    </row>
    <row r="73" spans="1:21" ht="12.75" customHeight="1">
      <c r="A73" s="1685"/>
      <c r="B73" s="1698" t="s">
        <v>134</v>
      </c>
      <c r="C73" s="1699"/>
      <c r="D73" s="1699"/>
      <c r="E73" s="1699"/>
      <c r="F73" s="1699"/>
      <c r="G73" s="1699"/>
      <c r="H73" s="1699"/>
      <c r="I73" s="1700"/>
      <c r="J73" s="1693"/>
      <c r="K73" s="1664"/>
      <c r="L73" s="1695"/>
      <c r="M73" s="1651" t="s">
        <v>128</v>
      </c>
      <c r="N73" s="1655">
        <f>SUM(P73:S76)</f>
        <v>0</v>
      </c>
      <c r="O73" s="1651" t="s">
        <v>117</v>
      </c>
      <c r="P73" s="1655">
        <v>0</v>
      </c>
      <c r="Q73" s="1655">
        <v>0</v>
      </c>
      <c r="R73" s="1655">
        <v>0</v>
      </c>
      <c r="S73" s="1655">
        <v>0</v>
      </c>
      <c r="T73" s="1656">
        <f>$P$7</f>
        <v>2013</v>
      </c>
      <c r="U73" s="1658">
        <f>P69</f>
        <v>800000</v>
      </c>
    </row>
    <row r="74" spans="1:21">
      <c r="A74" s="1685"/>
      <c r="B74" s="1701"/>
      <c r="C74" s="1702"/>
      <c r="D74" s="1702"/>
      <c r="E74" s="1702"/>
      <c r="F74" s="1702"/>
      <c r="G74" s="1702"/>
      <c r="H74" s="1702"/>
      <c r="I74" s="1703"/>
      <c r="J74" s="1693"/>
      <c r="K74" s="1664"/>
      <c r="L74" s="1695"/>
      <c r="M74" s="1651"/>
      <c r="N74" s="1655"/>
      <c r="O74" s="1651"/>
      <c r="P74" s="1655"/>
      <c r="Q74" s="1655"/>
      <c r="R74" s="1655"/>
      <c r="S74" s="1655"/>
      <c r="T74" s="1657"/>
      <c r="U74" s="1659"/>
    </row>
    <row r="75" spans="1:21">
      <c r="A75" s="1685"/>
      <c r="B75" s="1701"/>
      <c r="C75" s="1702"/>
      <c r="D75" s="1702"/>
      <c r="E75" s="1702"/>
      <c r="F75" s="1702"/>
      <c r="G75" s="1702"/>
      <c r="H75" s="1702"/>
      <c r="I75" s="1703"/>
      <c r="J75" s="1693"/>
      <c r="K75" s="1664"/>
      <c r="L75" s="1660">
        <v>29885</v>
      </c>
      <c r="M75" s="1651"/>
      <c r="N75" s="1655"/>
      <c r="O75" s="1651"/>
      <c r="P75" s="1655"/>
      <c r="Q75" s="1655"/>
      <c r="R75" s="1655"/>
      <c r="S75" s="1655"/>
      <c r="T75" s="1662">
        <f>$Q$7</f>
        <v>2014</v>
      </c>
      <c r="U75" s="1659">
        <f>Q69</f>
        <v>2400000</v>
      </c>
    </row>
    <row r="76" spans="1:21" ht="3.75" customHeight="1">
      <c r="A76" s="1685"/>
      <c r="B76" s="1704"/>
      <c r="C76" s="1705"/>
      <c r="D76" s="1705"/>
      <c r="E76" s="1705"/>
      <c r="F76" s="1705"/>
      <c r="G76" s="1705"/>
      <c r="H76" s="1705"/>
      <c r="I76" s="1706"/>
      <c r="J76" s="1693"/>
      <c r="K76" s="1664"/>
      <c r="L76" s="1660"/>
      <c r="M76" s="1651"/>
      <c r="N76" s="1652"/>
      <c r="O76" s="1651"/>
      <c r="P76" s="1652"/>
      <c r="Q76" s="1655"/>
      <c r="R76" s="1655"/>
      <c r="S76" s="1655"/>
      <c r="T76" s="1662"/>
      <c r="U76" s="1659"/>
    </row>
    <row r="77" spans="1:21" ht="12.75" customHeight="1">
      <c r="A77" s="1685"/>
      <c r="B77" s="1707" t="s">
        <v>351</v>
      </c>
      <c r="C77" s="1708"/>
      <c r="D77" s="1708"/>
      <c r="E77" s="1708"/>
      <c r="F77" s="1708"/>
      <c r="G77" s="1708"/>
      <c r="H77" s="1708"/>
      <c r="I77" s="1709"/>
      <c r="J77" s="1664"/>
      <c r="K77" s="1664"/>
      <c r="L77" s="1660"/>
      <c r="M77" s="1663" t="s">
        <v>129</v>
      </c>
      <c r="N77" s="1655">
        <f>SUM(P77:S80)</f>
        <v>3200000</v>
      </c>
      <c r="O77" s="1651" t="s">
        <v>117</v>
      </c>
      <c r="P77" s="1655">
        <v>800000</v>
      </c>
      <c r="Q77" s="1655">
        <v>2400000</v>
      </c>
      <c r="R77" s="1655">
        <v>0</v>
      </c>
      <c r="S77" s="1655">
        <v>0</v>
      </c>
      <c r="T77" s="1662">
        <f>$R$7</f>
        <v>2015</v>
      </c>
      <c r="U77" s="1659">
        <f>R69</f>
        <v>0</v>
      </c>
    </row>
    <row r="78" spans="1:21">
      <c r="A78" s="1685"/>
      <c r="B78" s="1707"/>
      <c r="C78" s="1708"/>
      <c r="D78" s="1708"/>
      <c r="E78" s="1708"/>
      <c r="F78" s="1708"/>
      <c r="G78" s="1708"/>
      <c r="H78" s="1708"/>
      <c r="I78" s="1709"/>
      <c r="J78" s="1664"/>
      <c r="K78" s="1664"/>
      <c r="L78" s="1660"/>
      <c r="M78" s="1664"/>
      <c r="N78" s="1655"/>
      <c r="O78" s="1651"/>
      <c r="P78" s="1655"/>
      <c r="Q78" s="1655"/>
      <c r="R78" s="1655"/>
      <c r="S78" s="1655"/>
      <c r="T78" s="1662"/>
      <c r="U78" s="1659"/>
    </row>
    <row r="79" spans="1:21">
      <c r="A79" s="1685"/>
      <c r="B79" s="1707"/>
      <c r="C79" s="1708"/>
      <c r="D79" s="1708"/>
      <c r="E79" s="1708"/>
      <c r="F79" s="1708"/>
      <c r="G79" s="1708"/>
      <c r="H79" s="1708"/>
      <c r="I79" s="1709"/>
      <c r="J79" s="1664"/>
      <c r="K79" s="1664"/>
      <c r="L79" s="1660"/>
      <c r="M79" s="1664"/>
      <c r="N79" s="1655"/>
      <c r="O79" s="1651"/>
      <c r="P79" s="1655"/>
      <c r="Q79" s="1655"/>
      <c r="R79" s="1655"/>
      <c r="S79" s="1655"/>
      <c r="T79" s="1662">
        <f>$S$7</f>
        <v>2016</v>
      </c>
      <c r="U79" s="1659">
        <f>S69</f>
        <v>0</v>
      </c>
    </row>
    <row r="80" spans="1:21" ht="13.5" thickBot="1">
      <c r="A80" s="1686"/>
      <c r="B80" s="1710"/>
      <c r="C80" s="1711"/>
      <c r="D80" s="1711"/>
      <c r="E80" s="1711"/>
      <c r="F80" s="1711"/>
      <c r="G80" s="1711"/>
      <c r="H80" s="1711"/>
      <c r="I80" s="1712"/>
      <c r="J80" s="1665"/>
      <c r="K80" s="1665"/>
      <c r="L80" s="1661"/>
      <c r="M80" s="1665"/>
      <c r="N80" s="1666"/>
      <c r="O80" s="1667"/>
      <c r="P80" s="1666"/>
      <c r="Q80" s="1666"/>
      <c r="R80" s="1666"/>
      <c r="S80" s="1666"/>
      <c r="T80" s="1669"/>
      <c r="U80" s="1670"/>
    </row>
    <row r="81" spans="1:21" ht="12" customHeight="1" thickTop="1" thickBot="1">
      <c r="A81" s="694"/>
      <c r="B81" s="693"/>
      <c r="C81" s="693"/>
      <c r="D81" s="693"/>
      <c r="E81" s="693"/>
      <c r="F81" s="693"/>
      <c r="G81" s="693"/>
      <c r="H81" s="693"/>
      <c r="I81" s="693"/>
      <c r="J81" s="65"/>
      <c r="K81" s="65"/>
      <c r="L81" s="64"/>
      <c r="M81" s="65"/>
      <c r="N81" s="195"/>
      <c r="O81" s="65"/>
      <c r="P81" s="195"/>
      <c r="Q81" s="195"/>
      <c r="R81" s="195"/>
      <c r="S81" s="195"/>
      <c r="T81" s="195"/>
      <c r="U81" s="196"/>
    </row>
    <row r="82" spans="1:21" ht="13.5" customHeight="1" thickTop="1">
      <c r="A82" s="1683">
        <v>5</v>
      </c>
      <c r="B82" s="1687" t="s">
        <v>106</v>
      </c>
      <c r="C82" s="1688"/>
      <c r="D82" s="1688">
        <v>600</v>
      </c>
      <c r="E82" s="1688"/>
      <c r="F82" s="1691" t="s">
        <v>130</v>
      </c>
      <c r="G82" s="1691"/>
      <c r="H82" s="1691"/>
      <c r="I82" s="1691"/>
      <c r="J82" s="1692">
        <v>2012</v>
      </c>
      <c r="K82" s="1692">
        <v>2013</v>
      </c>
      <c r="L82" s="1694">
        <v>470000</v>
      </c>
      <c r="M82" s="1696" t="s">
        <v>125</v>
      </c>
      <c r="N82" s="1672">
        <f>IF(SUM(N86:N93)=T82,SUM(N86:N93),"wielbłąd")</f>
        <v>250000</v>
      </c>
      <c r="O82" s="1671" t="s">
        <v>117</v>
      </c>
      <c r="P82" s="1672">
        <f>SUM(P86:P93)</f>
        <v>250000</v>
      </c>
      <c r="Q82" s="1672">
        <f t="shared" ref="Q82:S82" si="5">SUM(Q86:Q93)</f>
        <v>0</v>
      </c>
      <c r="R82" s="1672">
        <f t="shared" si="5"/>
        <v>0</v>
      </c>
      <c r="S82" s="1672">
        <f t="shared" si="5"/>
        <v>0</v>
      </c>
      <c r="T82" s="1673">
        <f>SUM(U86:U93)</f>
        <v>250000</v>
      </c>
      <c r="U82" s="1674"/>
    </row>
    <row r="83" spans="1:21">
      <c r="A83" s="1684"/>
      <c r="B83" s="1689"/>
      <c r="C83" s="1690"/>
      <c r="D83" s="1690"/>
      <c r="E83" s="1690"/>
      <c r="F83" s="1681"/>
      <c r="G83" s="1681"/>
      <c r="H83" s="1681"/>
      <c r="I83" s="1681"/>
      <c r="J83" s="1664"/>
      <c r="K83" s="1664"/>
      <c r="L83" s="1695"/>
      <c r="M83" s="1697"/>
      <c r="N83" s="1660"/>
      <c r="O83" s="1651"/>
      <c r="P83" s="1660"/>
      <c r="Q83" s="1660"/>
      <c r="R83" s="1660"/>
      <c r="S83" s="1660"/>
      <c r="T83" s="1675"/>
      <c r="U83" s="1676"/>
    </row>
    <row r="84" spans="1:21" ht="12.75" customHeight="1">
      <c r="A84" s="1684"/>
      <c r="B84" s="1679" t="s">
        <v>112</v>
      </c>
      <c r="C84" s="1651"/>
      <c r="D84" s="1651">
        <v>60095</v>
      </c>
      <c r="E84" s="1651"/>
      <c r="F84" s="1746" t="s">
        <v>139</v>
      </c>
      <c r="G84" s="1746"/>
      <c r="H84" s="1746"/>
      <c r="I84" s="1746"/>
      <c r="J84" s="1664"/>
      <c r="K84" s="1664"/>
      <c r="L84" s="1695"/>
      <c r="M84" s="1697"/>
      <c r="N84" s="1660"/>
      <c r="O84" s="1651"/>
      <c r="P84" s="1660"/>
      <c r="Q84" s="1660"/>
      <c r="R84" s="1660"/>
      <c r="S84" s="1660"/>
      <c r="T84" s="1675"/>
      <c r="U84" s="1676"/>
    </row>
    <row r="85" spans="1:21">
      <c r="A85" s="1684"/>
      <c r="B85" s="1680"/>
      <c r="C85" s="1663"/>
      <c r="D85" s="1663"/>
      <c r="E85" s="1663"/>
      <c r="F85" s="1747"/>
      <c r="G85" s="1747"/>
      <c r="H85" s="1747"/>
      <c r="I85" s="1747"/>
      <c r="J85" s="1664"/>
      <c r="K85" s="1664"/>
      <c r="L85" s="1695"/>
      <c r="M85" s="1697"/>
      <c r="N85" s="1660"/>
      <c r="O85" s="1651"/>
      <c r="P85" s="1660"/>
      <c r="Q85" s="1660"/>
      <c r="R85" s="1660"/>
      <c r="S85" s="1660"/>
      <c r="T85" s="1677"/>
      <c r="U85" s="1678"/>
    </row>
    <row r="86" spans="1:21" ht="12.75" customHeight="1">
      <c r="A86" s="1685"/>
      <c r="B86" s="1698" t="s">
        <v>409</v>
      </c>
      <c r="C86" s="1699"/>
      <c r="D86" s="1699"/>
      <c r="E86" s="1699"/>
      <c r="F86" s="1699"/>
      <c r="G86" s="1699"/>
      <c r="H86" s="1699"/>
      <c r="I86" s="1700"/>
      <c r="J86" s="1693"/>
      <c r="K86" s="1664"/>
      <c r="L86" s="1695"/>
      <c r="M86" s="1651" t="s">
        <v>128</v>
      </c>
      <c r="N86" s="1655">
        <f>SUM(P86:S89)</f>
        <v>0</v>
      </c>
      <c r="O86" s="1651" t="s">
        <v>117</v>
      </c>
      <c r="P86" s="1655">
        <v>0</v>
      </c>
      <c r="Q86" s="1655">
        <v>0</v>
      </c>
      <c r="R86" s="1655">
        <v>0</v>
      </c>
      <c r="S86" s="1655">
        <v>0</v>
      </c>
      <c r="T86" s="1656">
        <f>$P$7</f>
        <v>2013</v>
      </c>
      <c r="U86" s="1658">
        <f>P82</f>
        <v>250000</v>
      </c>
    </row>
    <row r="87" spans="1:21">
      <c r="A87" s="1685"/>
      <c r="B87" s="1701"/>
      <c r="C87" s="1702"/>
      <c r="D87" s="1702"/>
      <c r="E87" s="1702"/>
      <c r="F87" s="1702"/>
      <c r="G87" s="1702"/>
      <c r="H87" s="1702"/>
      <c r="I87" s="1703"/>
      <c r="J87" s="1693"/>
      <c r="K87" s="1664"/>
      <c r="L87" s="1695"/>
      <c r="M87" s="1651"/>
      <c r="N87" s="1655"/>
      <c r="O87" s="1651"/>
      <c r="P87" s="1655"/>
      <c r="Q87" s="1655"/>
      <c r="R87" s="1655"/>
      <c r="S87" s="1655"/>
      <c r="T87" s="1657"/>
      <c r="U87" s="1659"/>
    </row>
    <row r="88" spans="1:21">
      <c r="A88" s="1685"/>
      <c r="B88" s="1701"/>
      <c r="C88" s="1702"/>
      <c r="D88" s="1702"/>
      <c r="E88" s="1702"/>
      <c r="F88" s="1702"/>
      <c r="G88" s="1702"/>
      <c r="H88" s="1702"/>
      <c r="I88" s="1703"/>
      <c r="J88" s="1693"/>
      <c r="K88" s="1664"/>
      <c r="L88" s="1660">
        <v>220000</v>
      </c>
      <c r="M88" s="1651"/>
      <c r="N88" s="1655"/>
      <c r="O88" s="1651"/>
      <c r="P88" s="1655"/>
      <c r="Q88" s="1655"/>
      <c r="R88" s="1655"/>
      <c r="S88" s="1655"/>
      <c r="T88" s="1662">
        <f>$Q$7</f>
        <v>2014</v>
      </c>
      <c r="U88" s="1659">
        <f>Q82</f>
        <v>0</v>
      </c>
    </row>
    <row r="89" spans="1:21" ht="8.25" customHeight="1">
      <c r="A89" s="1685"/>
      <c r="B89" s="1704"/>
      <c r="C89" s="1705"/>
      <c r="D89" s="1705"/>
      <c r="E89" s="1705"/>
      <c r="F89" s="1705"/>
      <c r="G89" s="1705"/>
      <c r="H89" s="1705"/>
      <c r="I89" s="1706"/>
      <c r="J89" s="1693"/>
      <c r="K89" s="1664"/>
      <c r="L89" s="1660"/>
      <c r="M89" s="1651"/>
      <c r="N89" s="1652"/>
      <c r="O89" s="1651"/>
      <c r="P89" s="1652"/>
      <c r="Q89" s="1655"/>
      <c r="R89" s="1655"/>
      <c r="S89" s="1655"/>
      <c r="T89" s="1662"/>
      <c r="U89" s="1659"/>
    </row>
    <row r="90" spans="1:21" ht="12.75" customHeight="1">
      <c r="A90" s="1685"/>
      <c r="B90" s="1707" t="s">
        <v>352</v>
      </c>
      <c r="C90" s="1708"/>
      <c r="D90" s="1708"/>
      <c r="E90" s="1708"/>
      <c r="F90" s="1708"/>
      <c r="G90" s="1708"/>
      <c r="H90" s="1708"/>
      <c r="I90" s="1709"/>
      <c r="J90" s="1664"/>
      <c r="K90" s="1664"/>
      <c r="L90" s="1660"/>
      <c r="M90" s="1663" t="s">
        <v>129</v>
      </c>
      <c r="N90" s="1655">
        <f>SUM(P90:S93)</f>
        <v>250000</v>
      </c>
      <c r="O90" s="1651" t="s">
        <v>117</v>
      </c>
      <c r="P90" s="1655">
        <v>250000</v>
      </c>
      <c r="Q90" s="1655">
        <v>0</v>
      </c>
      <c r="R90" s="1655">
        <v>0</v>
      </c>
      <c r="S90" s="1655">
        <v>0</v>
      </c>
      <c r="T90" s="1662">
        <f>$R$7</f>
        <v>2015</v>
      </c>
      <c r="U90" s="1659">
        <f>R82</f>
        <v>0</v>
      </c>
    </row>
    <row r="91" spans="1:21">
      <c r="A91" s="1685"/>
      <c r="B91" s="1707"/>
      <c r="C91" s="1708"/>
      <c r="D91" s="1708"/>
      <c r="E91" s="1708"/>
      <c r="F91" s="1708"/>
      <c r="G91" s="1708"/>
      <c r="H91" s="1708"/>
      <c r="I91" s="1709"/>
      <c r="J91" s="1664"/>
      <c r="K91" s="1664"/>
      <c r="L91" s="1660"/>
      <c r="M91" s="1664"/>
      <c r="N91" s="1655"/>
      <c r="O91" s="1651"/>
      <c r="P91" s="1655"/>
      <c r="Q91" s="1655"/>
      <c r="R91" s="1655"/>
      <c r="S91" s="1655"/>
      <c r="T91" s="1662"/>
      <c r="U91" s="1659"/>
    </row>
    <row r="92" spans="1:21">
      <c r="A92" s="1685"/>
      <c r="B92" s="1707"/>
      <c r="C92" s="1708"/>
      <c r="D92" s="1708"/>
      <c r="E92" s="1708"/>
      <c r="F92" s="1708"/>
      <c r="G92" s="1708"/>
      <c r="H92" s="1708"/>
      <c r="I92" s="1709"/>
      <c r="J92" s="1664"/>
      <c r="K92" s="1664"/>
      <c r="L92" s="1660"/>
      <c r="M92" s="1664"/>
      <c r="N92" s="1655"/>
      <c r="O92" s="1651"/>
      <c r="P92" s="1655"/>
      <c r="Q92" s="1655"/>
      <c r="R92" s="1655"/>
      <c r="S92" s="1655"/>
      <c r="T92" s="1662">
        <f>$S$7</f>
        <v>2016</v>
      </c>
      <c r="U92" s="1659">
        <f>S82</f>
        <v>0</v>
      </c>
    </row>
    <row r="93" spans="1:21" ht="7.5" customHeight="1" thickBot="1">
      <c r="A93" s="1686"/>
      <c r="B93" s="1710"/>
      <c r="C93" s="1711"/>
      <c r="D93" s="1711"/>
      <c r="E93" s="1711"/>
      <c r="F93" s="1711"/>
      <c r="G93" s="1711"/>
      <c r="H93" s="1711"/>
      <c r="I93" s="1712"/>
      <c r="J93" s="1665"/>
      <c r="K93" s="1665"/>
      <c r="L93" s="1661"/>
      <c r="M93" s="1665"/>
      <c r="N93" s="1666"/>
      <c r="O93" s="1667"/>
      <c r="P93" s="1666"/>
      <c r="Q93" s="1666"/>
      <c r="R93" s="1666"/>
      <c r="S93" s="1666"/>
      <c r="T93" s="1669"/>
      <c r="U93" s="1670"/>
    </row>
    <row r="94" spans="1:21" ht="10.5" customHeight="1" thickTop="1" thickBot="1">
      <c r="A94" s="694"/>
      <c r="B94" s="693"/>
      <c r="C94" s="693"/>
      <c r="D94" s="693"/>
      <c r="E94" s="693"/>
      <c r="F94" s="693"/>
      <c r="G94" s="693"/>
      <c r="H94" s="693"/>
      <c r="I94" s="693"/>
      <c r="J94" s="65"/>
      <c r="K94" s="65"/>
      <c r="L94" s="64"/>
      <c r="M94" s="65"/>
      <c r="N94" s="195"/>
      <c r="O94" s="65"/>
      <c r="P94" s="195"/>
      <c r="Q94" s="195"/>
      <c r="R94" s="195"/>
      <c r="S94" s="195"/>
      <c r="T94" s="195"/>
      <c r="U94" s="196"/>
    </row>
    <row r="95" spans="1:21" ht="13.5" customHeight="1" thickTop="1">
      <c r="A95" s="1683">
        <v>6</v>
      </c>
      <c r="B95" s="1687" t="s">
        <v>106</v>
      </c>
      <c r="C95" s="1688"/>
      <c r="D95" s="1688">
        <v>926</v>
      </c>
      <c r="E95" s="1688"/>
      <c r="F95" s="1691" t="s">
        <v>135</v>
      </c>
      <c r="G95" s="1691"/>
      <c r="H95" s="1691"/>
      <c r="I95" s="1691"/>
      <c r="J95" s="1692">
        <v>2011</v>
      </c>
      <c r="K95" s="1692">
        <v>2014</v>
      </c>
      <c r="L95" s="1694">
        <v>1800000</v>
      </c>
      <c r="M95" s="1696" t="s">
        <v>125</v>
      </c>
      <c r="N95" s="1672">
        <f>IF(SUM(N99:N106)=T95,SUM(N99:N106),"wielbłąd")</f>
        <v>1729890</v>
      </c>
      <c r="O95" s="1671" t="s">
        <v>117</v>
      </c>
      <c r="P95" s="1672">
        <f t="shared" ref="P95" si="6">SUM(P99:P106)</f>
        <v>350000</v>
      </c>
      <c r="Q95" s="1672">
        <f t="shared" ref="Q95:S95" si="7">SUM(Q99:Q106)</f>
        <v>1379890</v>
      </c>
      <c r="R95" s="1672">
        <f t="shared" si="7"/>
        <v>0</v>
      </c>
      <c r="S95" s="1672">
        <f t="shared" si="7"/>
        <v>0</v>
      </c>
      <c r="T95" s="1673">
        <f>SUM(U99:U106)</f>
        <v>1729890</v>
      </c>
      <c r="U95" s="1674"/>
    </row>
    <row r="96" spans="1:21">
      <c r="A96" s="1684"/>
      <c r="B96" s="1689"/>
      <c r="C96" s="1690"/>
      <c r="D96" s="1690"/>
      <c r="E96" s="1690"/>
      <c r="F96" s="1681"/>
      <c r="G96" s="1681"/>
      <c r="H96" s="1681"/>
      <c r="I96" s="1681"/>
      <c r="J96" s="1664"/>
      <c r="K96" s="1664"/>
      <c r="L96" s="1695"/>
      <c r="M96" s="1697"/>
      <c r="N96" s="1660"/>
      <c r="O96" s="1651"/>
      <c r="P96" s="1660"/>
      <c r="Q96" s="1660"/>
      <c r="R96" s="1660"/>
      <c r="S96" s="1660"/>
      <c r="T96" s="1675"/>
      <c r="U96" s="1676"/>
    </row>
    <row r="97" spans="1:21" ht="12.75" customHeight="1">
      <c r="A97" s="1684"/>
      <c r="B97" s="1679" t="s">
        <v>112</v>
      </c>
      <c r="C97" s="1651"/>
      <c r="D97" s="1651">
        <v>92601</v>
      </c>
      <c r="E97" s="1651"/>
      <c r="F97" s="1681" t="s">
        <v>136</v>
      </c>
      <c r="G97" s="1681"/>
      <c r="H97" s="1681"/>
      <c r="I97" s="1681"/>
      <c r="J97" s="1664"/>
      <c r="K97" s="1664"/>
      <c r="L97" s="1695"/>
      <c r="M97" s="1697"/>
      <c r="N97" s="1660"/>
      <c r="O97" s="1651"/>
      <c r="P97" s="1660"/>
      <c r="Q97" s="1660"/>
      <c r="R97" s="1660"/>
      <c r="S97" s="1660"/>
      <c r="T97" s="1675"/>
      <c r="U97" s="1676"/>
    </row>
    <row r="98" spans="1:21">
      <c r="A98" s="1684"/>
      <c r="B98" s="1680"/>
      <c r="C98" s="1663"/>
      <c r="D98" s="1663"/>
      <c r="E98" s="1663"/>
      <c r="F98" s="1682"/>
      <c r="G98" s="1682"/>
      <c r="H98" s="1682"/>
      <c r="I98" s="1682"/>
      <c r="J98" s="1664"/>
      <c r="K98" s="1664"/>
      <c r="L98" s="1695"/>
      <c r="M98" s="1697"/>
      <c r="N98" s="1660"/>
      <c r="O98" s="1651"/>
      <c r="P98" s="1660"/>
      <c r="Q98" s="1660"/>
      <c r="R98" s="1660"/>
      <c r="S98" s="1660"/>
      <c r="T98" s="1677"/>
      <c r="U98" s="1678"/>
    </row>
    <row r="99" spans="1:21" ht="12.75" customHeight="1">
      <c r="A99" s="1685"/>
      <c r="B99" s="1698" t="s">
        <v>137</v>
      </c>
      <c r="C99" s="1699"/>
      <c r="D99" s="1699"/>
      <c r="E99" s="1699"/>
      <c r="F99" s="1699"/>
      <c r="G99" s="1699"/>
      <c r="H99" s="1699"/>
      <c r="I99" s="1700"/>
      <c r="J99" s="1693"/>
      <c r="K99" s="1664"/>
      <c r="L99" s="1695"/>
      <c r="M99" s="1651" t="s">
        <v>128</v>
      </c>
      <c r="N99" s="1655">
        <f>SUM(P99:S102)</f>
        <v>807500</v>
      </c>
      <c r="O99" s="1651" t="s">
        <v>117</v>
      </c>
      <c r="P99" s="1652">
        <v>0</v>
      </c>
      <c r="Q99" s="1652">
        <v>807500</v>
      </c>
      <c r="R99" s="1655">
        <v>0</v>
      </c>
      <c r="S99" s="1655">
        <v>0</v>
      </c>
      <c r="T99" s="1656">
        <f>$P$7</f>
        <v>2013</v>
      </c>
      <c r="U99" s="1658">
        <f>P95</f>
        <v>350000</v>
      </c>
    </row>
    <row r="100" spans="1:21">
      <c r="A100" s="1685"/>
      <c r="B100" s="1701"/>
      <c r="C100" s="1702"/>
      <c r="D100" s="1702"/>
      <c r="E100" s="1702"/>
      <c r="F100" s="1702"/>
      <c r="G100" s="1702"/>
      <c r="H100" s="1702"/>
      <c r="I100" s="1703"/>
      <c r="J100" s="1693"/>
      <c r="K100" s="1664"/>
      <c r="L100" s="1695"/>
      <c r="M100" s="1651"/>
      <c r="N100" s="1655"/>
      <c r="O100" s="1651"/>
      <c r="P100" s="1653"/>
      <c r="Q100" s="1653"/>
      <c r="R100" s="1655"/>
      <c r="S100" s="1655"/>
      <c r="T100" s="1657"/>
      <c r="U100" s="1659"/>
    </row>
    <row r="101" spans="1:21">
      <c r="A101" s="1685"/>
      <c r="B101" s="1701"/>
      <c r="C101" s="1702"/>
      <c r="D101" s="1702"/>
      <c r="E101" s="1702"/>
      <c r="F101" s="1702"/>
      <c r="G101" s="1702"/>
      <c r="H101" s="1702"/>
      <c r="I101" s="1703"/>
      <c r="J101" s="1693"/>
      <c r="K101" s="1664"/>
      <c r="L101" s="1660">
        <v>70110</v>
      </c>
      <c r="M101" s="1651"/>
      <c r="N101" s="1655"/>
      <c r="O101" s="1651"/>
      <c r="P101" s="1653"/>
      <c r="Q101" s="1653"/>
      <c r="R101" s="1655"/>
      <c r="S101" s="1655"/>
      <c r="T101" s="1662">
        <f>$Q$7</f>
        <v>2014</v>
      </c>
      <c r="U101" s="1659">
        <f>Q95</f>
        <v>1379890</v>
      </c>
    </row>
    <row r="102" spans="1:21">
      <c r="A102" s="1685"/>
      <c r="B102" s="1704"/>
      <c r="C102" s="1705"/>
      <c r="D102" s="1705"/>
      <c r="E102" s="1705"/>
      <c r="F102" s="1705"/>
      <c r="G102" s="1705"/>
      <c r="H102" s="1705"/>
      <c r="I102" s="1706"/>
      <c r="J102" s="1693"/>
      <c r="K102" s="1664"/>
      <c r="L102" s="1660"/>
      <c r="M102" s="1651"/>
      <c r="N102" s="1652"/>
      <c r="O102" s="1651"/>
      <c r="P102" s="1654"/>
      <c r="Q102" s="1654"/>
      <c r="R102" s="1655"/>
      <c r="S102" s="1655"/>
      <c r="T102" s="1662"/>
      <c r="U102" s="1659"/>
    </row>
    <row r="103" spans="1:21" ht="12.75" customHeight="1">
      <c r="A103" s="1685"/>
      <c r="B103" s="1707" t="s">
        <v>353</v>
      </c>
      <c r="C103" s="1708"/>
      <c r="D103" s="1708"/>
      <c r="E103" s="1708"/>
      <c r="F103" s="1708"/>
      <c r="G103" s="1708"/>
      <c r="H103" s="1708"/>
      <c r="I103" s="1709"/>
      <c r="J103" s="1664"/>
      <c r="K103" s="1664"/>
      <c r="L103" s="1660"/>
      <c r="M103" s="1663" t="s">
        <v>129</v>
      </c>
      <c r="N103" s="1655">
        <f>SUM(P103:S106)</f>
        <v>922390</v>
      </c>
      <c r="O103" s="1651" t="s">
        <v>117</v>
      </c>
      <c r="P103" s="1652">
        <v>350000</v>
      </c>
      <c r="Q103" s="1652">
        <v>572390</v>
      </c>
      <c r="R103" s="1655">
        <v>0</v>
      </c>
      <c r="S103" s="1655">
        <v>0</v>
      </c>
      <c r="T103" s="1662">
        <f>$R$7</f>
        <v>2015</v>
      </c>
      <c r="U103" s="1659">
        <f>R95</f>
        <v>0</v>
      </c>
    </row>
    <row r="104" spans="1:21">
      <c r="A104" s="1685"/>
      <c r="B104" s="1707"/>
      <c r="C104" s="1708"/>
      <c r="D104" s="1708"/>
      <c r="E104" s="1708"/>
      <c r="F104" s="1708"/>
      <c r="G104" s="1708"/>
      <c r="H104" s="1708"/>
      <c r="I104" s="1709"/>
      <c r="J104" s="1664"/>
      <c r="K104" s="1664"/>
      <c r="L104" s="1660"/>
      <c r="M104" s="1664"/>
      <c r="N104" s="1655"/>
      <c r="O104" s="1651"/>
      <c r="P104" s="1653"/>
      <c r="Q104" s="1653"/>
      <c r="R104" s="1655"/>
      <c r="S104" s="1655"/>
      <c r="T104" s="1662"/>
      <c r="U104" s="1659"/>
    </row>
    <row r="105" spans="1:21">
      <c r="A105" s="1685"/>
      <c r="B105" s="1707"/>
      <c r="C105" s="1708"/>
      <c r="D105" s="1708"/>
      <c r="E105" s="1708"/>
      <c r="F105" s="1708"/>
      <c r="G105" s="1708"/>
      <c r="H105" s="1708"/>
      <c r="I105" s="1709"/>
      <c r="J105" s="1664"/>
      <c r="K105" s="1664"/>
      <c r="L105" s="1660"/>
      <c r="M105" s="1664"/>
      <c r="N105" s="1655"/>
      <c r="O105" s="1651"/>
      <c r="P105" s="1653"/>
      <c r="Q105" s="1653"/>
      <c r="R105" s="1655"/>
      <c r="S105" s="1655"/>
      <c r="T105" s="1662">
        <f>$S$7</f>
        <v>2016</v>
      </c>
      <c r="U105" s="1659">
        <f>S95</f>
        <v>0</v>
      </c>
    </row>
    <row r="106" spans="1:21" ht="9" customHeight="1" thickBot="1">
      <c r="A106" s="1686"/>
      <c r="B106" s="1710"/>
      <c r="C106" s="1711"/>
      <c r="D106" s="1711"/>
      <c r="E106" s="1711"/>
      <c r="F106" s="1711"/>
      <c r="G106" s="1711"/>
      <c r="H106" s="1711"/>
      <c r="I106" s="1712"/>
      <c r="J106" s="1665"/>
      <c r="K106" s="1665"/>
      <c r="L106" s="1661"/>
      <c r="M106" s="1665"/>
      <c r="N106" s="1666"/>
      <c r="O106" s="1667"/>
      <c r="P106" s="1668"/>
      <c r="Q106" s="1668"/>
      <c r="R106" s="1666"/>
      <c r="S106" s="1666"/>
      <c r="T106" s="1669"/>
      <c r="U106" s="1670"/>
    </row>
    <row r="107" spans="1:21" ht="12.75" customHeight="1" thickTop="1" thickBot="1">
      <c r="A107" s="694"/>
      <c r="B107" s="693"/>
      <c r="C107" s="693"/>
      <c r="D107" s="693"/>
      <c r="E107" s="693"/>
      <c r="F107" s="693"/>
      <c r="G107" s="693"/>
      <c r="H107" s="693"/>
      <c r="I107" s="693"/>
      <c r="J107" s="65"/>
      <c r="K107" s="65"/>
      <c r="L107" s="64"/>
      <c r="M107" s="65"/>
      <c r="N107" s="195"/>
      <c r="O107" s="65"/>
      <c r="P107" s="195"/>
      <c r="Q107" s="195"/>
      <c r="R107" s="195"/>
      <c r="S107" s="195"/>
      <c r="T107" s="195"/>
      <c r="U107" s="196"/>
    </row>
    <row r="108" spans="1:21" ht="13.5" customHeight="1" thickTop="1">
      <c r="A108" s="1683">
        <v>7</v>
      </c>
      <c r="B108" s="1687" t="s">
        <v>106</v>
      </c>
      <c r="C108" s="1688"/>
      <c r="D108" s="1688">
        <v>720</v>
      </c>
      <c r="E108" s="1688"/>
      <c r="F108" s="1691" t="s">
        <v>138</v>
      </c>
      <c r="G108" s="1691"/>
      <c r="H108" s="1691"/>
      <c r="I108" s="1691"/>
      <c r="J108" s="1692">
        <v>2010</v>
      </c>
      <c r="K108" s="1692">
        <v>2016</v>
      </c>
      <c r="L108" s="1694">
        <v>31903</v>
      </c>
      <c r="M108" s="1696" t="s">
        <v>125</v>
      </c>
      <c r="N108" s="1672">
        <f>IF(SUM(N112:N119)=T108,SUM(N112:N119),"wielbłąd")</f>
        <v>17700</v>
      </c>
      <c r="O108" s="1671" t="s">
        <v>117</v>
      </c>
      <c r="P108" s="1672">
        <f>SUM(P112:P119)</f>
        <v>6200</v>
      </c>
      <c r="Q108" s="1672">
        <f>SUM(Q112:Q119)</f>
        <v>3800</v>
      </c>
      <c r="R108" s="1672">
        <f t="shared" ref="R108:S108" si="8">SUM(R112:R119)</f>
        <v>3800</v>
      </c>
      <c r="S108" s="1672">
        <f t="shared" si="8"/>
        <v>3900</v>
      </c>
      <c r="T108" s="1673">
        <f>SUM(U112:U119)</f>
        <v>17700</v>
      </c>
      <c r="U108" s="1674"/>
    </row>
    <row r="109" spans="1:21">
      <c r="A109" s="1684"/>
      <c r="B109" s="1689"/>
      <c r="C109" s="1690"/>
      <c r="D109" s="1690"/>
      <c r="E109" s="1690"/>
      <c r="F109" s="1681"/>
      <c r="G109" s="1681"/>
      <c r="H109" s="1681"/>
      <c r="I109" s="1681"/>
      <c r="J109" s="1664"/>
      <c r="K109" s="1664"/>
      <c r="L109" s="1695"/>
      <c r="M109" s="1697"/>
      <c r="N109" s="1660"/>
      <c r="O109" s="1651"/>
      <c r="P109" s="1660"/>
      <c r="Q109" s="1660"/>
      <c r="R109" s="1660"/>
      <c r="S109" s="1660"/>
      <c r="T109" s="1675"/>
      <c r="U109" s="1676"/>
    </row>
    <row r="110" spans="1:21" ht="12.75" customHeight="1">
      <c r="A110" s="1684"/>
      <c r="B110" s="1679" t="s">
        <v>112</v>
      </c>
      <c r="C110" s="1651"/>
      <c r="D110" s="1651">
        <v>72095</v>
      </c>
      <c r="E110" s="1651"/>
      <c r="F110" s="1681" t="s">
        <v>139</v>
      </c>
      <c r="G110" s="1681"/>
      <c r="H110" s="1681"/>
      <c r="I110" s="1681"/>
      <c r="J110" s="1664"/>
      <c r="K110" s="1664"/>
      <c r="L110" s="1695"/>
      <c r="M110" s="1697"/>
      <c r="N110" s="1660"/>
      <c r="O110" s="1651"/>
      <c r="P110" s="1660"/>
      <c r="Q110" s="1660"/>
      <c r="R110" s="1660"/>
      <c r="S110" s="1660"/>
      <c r="T110" s="1675"/>
      <c r="U110" s="1676"/>
    </row>
    <row r="111" spans="1:21">
      <c r="A111" s="1684"/>
      <c r="B111" s="1680"/>
      <c r="C111" s="1663"/>
      <c r="D111" s="1663"/>
      <c r="E111" s="1663"/>
      <c r="F111" s="1682"/>
      <c r="G111" s="1682"/>
      <c r="H111" s="1682"/>
      <c r="I111" s="1682"/>
      <c r="J111" s="1664"/>
      <c r="K111" s="1664"/>
      <c r="L111" s="1695"/>
      <c r="M111" s="1697"/>
      <c r="N111" s="1660"/>
      <c r="O111" s="1651"/>
      <c r="P111" s="1660"/>
      <c r="Q111" s="1660"/>
      <c r="R111" s="1660"/>
      <c r="S111" s="1660"/>
      <c r="T111" s="1677"/>
      <c r="U111" s="1678"/>
    </row>
    <row r="112" spans="1:21" ht="12.75" customHeight="1">
      <c r="A112" s="1685"/>
      <c r="B112" s="1698" t="s">
        <v>140</v>
      </c>
      <c r="C112" s="1699"/>
      <c r="D112" s="1699"/>
      <c r="E112" s="1699"/>
      <c r="F112" s="1699"/>
      <c r="G112" s="1699"/>
      <c r="H112" s="1699"/>
      <c r="I112" s="1700"/>
      <c r="J112" s="1693"/>
      <c r="K112" s="1664"/>
      <c r="L112" s="1695"/>
      <c r="M112" s="1651" t="s">
        <v>128</v>
      </c>
      <c r="N112" s="1655">
        <f>SUM(P112:S115)</f>
        <v>0</v>
      </c>
      <c r="O112" s="1651" t="s">
        <v>117</v>
      </c>
      <c r="P112" s="1652">
        <v>0</v>
      </c>
      <c r="Q112" s="1652">
        <v>0</v>
      </c>
      <c r="R112" s="1655">
        <v>0</v>
      </c>
      <c r="S112" s="1655">
        <v>0</v>
      </c>
      <c r="T112" s="1656">
        <f>$P$7</f>
        <v>2013</v>
      </c>
      <c r="U112" s="1658">
        <f>P108</f>
        <v>6200</v>
      </c>
    </row>
    <row r="113" spans="1:21">
      <c r="A113" s="1685"/>
      <c r="B113" s="1701"/>
      <c r="C113" s="1702"/>
      <c r="D113" s="1702"/>
      <c r="E113" s="1702"/>
      <c r="F113" s="1702"/>
      <c r="G113" s="1702"/>
      <c r="H113" s="1702"/>
      <c r="I113" s="1703"/>
      <c r="J113" s="1693"/>
      <c r="K113" s="1664"/>
      <c r="L113" s="1695"/>
      <c r="M113" s="1651"/>
      <c r="N113" s="1655"/>
      <c r="O113" s="1651"/>
      <c r="P113" s="1653"/>
      <c r="Q113" s="1653"/>
      <c r="R113" s="1655"/>
      <c r="S113" s="1655"/>
      <c r="T113" s="1657"/>
      <c r="U113" s="1659"/>
    </row>
    <row r="114" spans="1:21" ht="9" customHeight="1">
      <c r="A114" s="1685"/>
      <c r="B114" s="1701"/>
      <c r="C114" s="1702"/>
      <c r="D114" s="1702"/>
      <c r="E114" s="1702"/>
      <c r="F114" s="1702"/>
      <c r="G114" s="1702"/>
      <c r="H114" s="1702"/>
      <c r="I114" s="1703"/>
      <c r="J114" s="1693"/>
      <c r="K114" s="1664"/>
      <c r="L114" s="1660">
        <v>6403</v>
      </c>
      <c r="M114" s="1651"/>
      <c r="N114" s="1655"/>
      <c r="O114" s="1651"/>
      <c r="P114" s="1653"/>
      <c r="Q114" s="1653"/>
      <c r="R114" s="1655"/>
      <c r="S114" s="1655"/>
      <c r="T114" s="1662">
        <f>$Q$7</f>
        <v>2014</v>
      </c>
      <c r="U114" s="1659">
        <f>Q108</f>
        <v>3800</v>
      </c>
    </row>
    <row r="115" spans="1:21" ht="6.75" customHeight="1">
      <c r="A115" s="1685"/>
      <c r="B115" s="1704"/>
      <c r="C115" s="1705"/>
      <c r="D115" s="1705"/>
      <c r="E115" s="1705"/>
      <c r="F115" s="1705"/>
      <c r="G115" s="1705"/>
      <c r="H115" s="1705"/>
      <c r="I115" s="1706"/>
      <c r="J115" s="1693"/>
      <c r="K115" s="1664"/>
      <c r="L115" s="1660"/>
      <c r="M115" s="1651"/>
      <c r="N115" s="1652"/>
      <c r="O115" s="1651"/>
      <c r="P115" s="1654"/>
      <c r="Q115" s="1654"/>
      <c r="R115" s="1655"/>
      <c r="S115" s="1655"/>
      <c r="T115" s="1662"/>
      <c r="U115" s="1659"/>
    </row>
    <row r="116" spans="1:21" ht="12.75" customHeight="1">
      <c r="A116" s="1685"/>
      <c r="B116" s="1707" t="s">
        <v>354</v>
      </c>
      <c r="C116" s="1708"/>
      <c r="D116" s="1708"/>
      <c r="E116" s="1708"/>
      <c r="F116" s="1708"/>
      <c r="G116" s="1708"/>
      <c r="H116" s="1708"/>
      <c r="I116" s="1709"/>
      <c r="J116" s="1664"/>
      <c r="K116" s="1664"/>
      <c r="L116" s="1660"/>
      <c r="M116" s="1663" t="s">
        <v>129</v>
      </c>
      <c r="N116" s="1655">
        <f>SUM(P116:S119)</f>
        <v>17700</v>
      </c>
      <c r="O116" s="1651" t="s">
        <v>117</v>
      </c>
      <c r="P116" s="1652">
        <v>6200</v>
      </c>
      <c r="Q116" s="1652">
        <v>3800</v>
      </c>
      <c r="R116" s="1655">
        <v>3800</v>
      </c>
      <c r="S116" s="1655">
        <v>3900</v>
      </c>
      <c r="T116" s="1662">
        <f>$R$7</f>
        <v>2015</v>
      </c>
      <c r="U116" s="1659">
        <f>R108</f>
        <v>3800</v>
      </c>
    </row>
    <row r="117" spans="1:21">
      <c r="A117" s="1685"/>
      <c r="B117" s="1707"/>
      <c r="C117" s="1708"/>
      <c r="D117" s="1708"/>
      <c r="E117" s="1708"/>
      <c r="F117" s="1708"/>
      <c r="G117" s="1708"/>
      <c r="H117" s="1708"/>
      <c r="I117" s="1709"/>
      <c r="J117" s="1664"/>
      <c r="K117" s="1664"/>
      <c r="L117" s="1660"/>
      <c r="M117" s="1664"/>
      <c r="N117" s="1655"/>
      <c r="O117" s="1651"/>
      <c r="P117" s="1653"/>
      <c r="Q117" s="1653"/>
      <c r="R117" s="1655"/>
      <c r="S117" s="1655"/>
      <c r="T117" s="1662"/>
      <c r="U117" s="1659"/>
    </row>
    <row r="118" spans="1:21" ht="12.75" customHeight="1">
      <c r="A118" s="1685"/>
      <c r="B118" s="1707"/>
      <c r="C118" s="1708"/>
      <c r="D118" s="1708"/>
      <c r="E118" s="1708"/>
      <c r="F118" s="1708"/>
      <c r="G118" s="1708"/>
      <c r="H118" s="1708"/>
      <c r="I118" s="1709"/>
      <c r="J118" s="1664"/>
      <c r="K118" s="1664"/>
      <c r="L118" s="1660"/>
      <c r="M118" s="1664"/>
      <c r="N118" s="1655"/>
      <c r="O118" s="1651"/>
      <c r="P118" s="1653"/>
      <c r="Q118" s="1653"/>
      <c r="R118" s="1655"/>
      <c r="S118" s="1655"/>
      <c r="T118" s="1662">
        <f>$S$7</f>
        <v>2016</v>
      </c>
      <c r="U118" s="1659">
        <f>S108</f>
        <v>3900</v>
      </c>
    </row>
    <row r="119" spans="1:21" ht="2.25" customHeight="1" thickBot="1">
      <c r="A119" s="1686"/>
      <c r="B119" s="1710"/>
      <c r="C119" s="1711"/>
      <c r="D119" s="1711"/>
      <c r="E119" s="1711"/>
      <c r="F119" s="1711"/>
      <c r="G119" s="1711"/>
      <c r="H119" s="1711"/>
      <c r="I119" s="1712"/>
      <c r="J119" s="1665"/>
      <c r="K119" s="1665"/>
      <c r="L119" s="1661"/>
      <c r="M119" s="1665"/>
      <c r="N119" s="1666"/>
      <c r="O119" s="1667"/>
      <c r="P119" s="1668"/>
      <c r="Q119" s="1668"/>
      <c r="R119" s="1666"/>
      <c r="S119" s="1666"/>
      <c r="T119" s="1669"/>
      <c r="U119" s="1670"/>
    </row>
    <row r="120" spans="1:21" ht="12" customHeight="1" thickTop="1" thickBot="1">
      <c r="A120" s="694"/>
      <c r="B120" s="693"/>
      <c r="C120" s="693"/>
      <c r="D120" s="693"/>
      <c r="E120" s="693"/>
      <c r="F120" s="693"/>
      <c r="G120" s="693"/>
      <c r="H120" s="693"/>
      <c r="I120" s="693"/>
      <c r="J120" s="65"/>
      <c r="K120" s="65"/>
      <c r="L120" s="64"/>
      <c r="M120" s="65"/>
      <c r="N120" s="195"/>
      <c r="O120" s="65"/>
      <c r="P120" s="195"/>
      <c r="Q120" s="195"/>
      <c r="R120" s="195"/>
      <c r="S120" s="195"/>
      <c r="T120" s="198"/>
      <c r="U120" s="196"/>
    </row>
    <row r="121" spans="1:21" ht="13.5" customHeight="1" thickTop="1">
      <c r="A121" s="1683">
        <v>8</v>
      </c>
      <c r="B121" s="1687" t="s">
        <v>106</v>
      </c>
      <c r="C121" s="1688"/>
      <c r="D121" s="1688">
        <v>750</v>
      </c>
      <c r="E121" s="1688"/>
      <c r="F121" s="1691" t="s">
        <v>141</v>
      </c>
      <c r="G121" s="1691"/>
      <c r="H121" s="1691"/>
      <c r="I121" s="1691"/>
      <c r="J121" s="1692">
        <v>2012</v>
      </c>
      <c r="K121" s="1692">
        <v>2013</v>
      </c>
      <c r="L121" s="1694">
        <v>447150</v>
      </c>
      <c r="M121" s="1696" t="s">
        <v>125</v>
      </c>
      <c r="N121" s="1672">
        <f>IF(SUM(N125:N132)=T121,SUM(N125:N132),"wielbłąd")</f>
        <v>402000</v>
      </c>
      <c r="O121" s="1671" t="s">
        <v>117</v>
      </c>
      <c r="P121" s="1672">
        <f>SUM(P125:P132)</f>
        <v>402000</v>
      </c>
      <c r="Q121" s="1672">
        <f t="shared" ref="Q121:S121" si="9">SUM(Q125:Q132)</f>
        <v>0</v>
      </c>
      <c r="R121" s="1672">
        <f t="shared" si="9"/>
        <v>0</v>
      </c>
      <c r="S121" s="1672">
        <f t="shared" si="9"/>
        <v>0</v>
      </c>
      <c r="T121" s="1673">
        <f>SUM(U125:U132)</f>
        <v>402000</v>
      </c>
      <c r="U121" s="1674"/>
    </row>
    <row r="122" spans="1:21" ht="7.5" customHeight="1">
      <c r="A122" s="1684"/>
      <c r="B122" s="1689"/>
      <c r="C122" s="1690"/>
      <c r="D122" s="1690"/>
      <c r="E122" s="1690"/>
      <c r="F122" s="1681"/>
      <c r="G122" s="1681"/>
      <c r="H122" s="1681"/>
      <c r="I122" s="1681"/>
      <c r="J122" s="1664"/>
      <c r="K122" s="1664"/>
      <c r="L122" s="1695"/>
      <c r="M122" s="1697"/>
      <c r="N122" s="1660"/>
      <c r="O122" s="1651"/>
      <c r="P122" s="1660"/>
      <c r="Q122" s="1660"/>
      <c r="R122" s="1660"/>
      <c r="S122" s="1660"/>
      <c r="T122" s="1675"/>
      <c r="U122" s="1676"/>
    </row>
    <row r="123" spans="1:21" ht="12.75" customHeight="1">
      <c r="A123" s="1684"/>
      <c r="B123" s="1679" t="s">
        <v>112</v>
      </c>
      <c r="C123" s="1651"/>
      <c r="D123" s="1651">
        <v>75023</v>
      </c>
      <c r="E123" s="1651"/>
      <c r="F123" s="1681" t="s">
        <v>142</v>
      </c>
      <c r="G123" s="1681"/>
      <c r="H123" s="1681"/>
      <c r="I123" s="1681"/>
      <c r="J123" s="1664"/>
      <c r="K123" s="1664"/>
      <c r="L123" s="1695"/>
      <c r="M123" s="1697"/>
      <c r="N123" s="1660"/>
      <c r="O123" s="1651"/>
      <c r="P123" s="1660"/>
      <c r="Q123" s="1660"/>
      <c r="R123" s="1660"/>
      <c r="S123" s="1660"/>
      <c r="T123" s="1675"/>
      <c r="U123" s="1676"/>
    </row>
    <row r="124" spans="1:21" ht="12" customHeight="1">
      <c r="A124" s="1684"/>
      <c r="B124" s="1680"/>
      <c r="C124" s="1663"/>
      <c r="D124" s="1663"/>
      <c r="E124" s="1663"/>
      <c r="F124" s="1682"/>
      <c r="G124" s="1682"/>
      <c r="H124" s="1682"/>
      <c r="I124" s="1682"/>
      <c r="J124" s="1664"/>
      <c r="K124" s="1664"/>
      <c r="L124" s="1695"/>
      <c r="M124" s="1697"/>
      <c r="N124" s="1660"/>
      <c r="O124" s="1651"/>
      <c r="P124" s="1660"/>
      <c r="Q124" s="1660"/>
      <c r="R124" s="1660"/>
      <c r="S124" s="1660"/>
      <c r="T124" s="1677"/>
      <c r="U124" s="1678"/>
    </row>
    <row r="125" spans="1:21" ht="12.75" customHeight="1">
      <c r="A125" s="1685"/>
      <c r="B125" s="1698" t="s">
        <v>143</v>
      </c>
      <c r="C125" s="1699"/>
      <c r="D125" s="1699"/>
      <c r="E125" s="1699"/>
      <c r="F125" s="1699"/>
      <c r="G125" s="1699"/>
      <c r="H125" s="1699"/>
      <c r="I125" s="1700"/>
      <c r="J125" s="1693"/>
      <c r="K125" s="1664"/>
      <c r="L125" s="1695"/>
      <c r="M125" s="1651" t="s">
        <v>128</v>
      </c>
      <c r="N125" s="1655">
        <f>SUM(P125:S128)</f>
        <v>0</v>
      </c>
      <c r="O125" s="1651" t="s">
        <v>117</v>
      </c>
      <c r="P125" s="1652">
        <v>0</v>
      </c>
      <c r="Q125" s="1652">
        <v>0</v>
      </c>
      <c r="R125" s="1655">
        <v>0</v>
      </c>
      <c r="S125" s="1655">
        <v>0</v>
      </c>
      <c r="T125" s="1656">
        <f>$P$7</f>
        <v>2013</v>
      </c>
      <c r="U125" s="1658">
        <f>P121</f>
        <v>402000</v>
      </c>
    </row>
    <row r="126" spans="1:21">
      <c r="A126" s="1685"/>
      <c r="B126" s="1701"/>
      <c r="C126" s="1702"/>
      <c r="D126" s="1702"/>
      <c r="E126" s="1702"/>
      <c r="F126" s="1702"/>
      <c r="G126" s="1702"/>
      <c r="H126" s="1702"/>
      <c r="I126" s="1703"/>
      <c r="J126" s="1693"/>
      <c r="K126" s="1664"/>
      <c r="L126" s="1695"/>
      <c r="M126" s="1651"/>
      <c r="N126" s="1655"/>
      <c r="O126" s="1651"/>
      <c r="P126" s="1653"/>
      <c r="Q126" s="1653"/>
      <c r="R126" s="1655"/>
      <c r="S126" s="1655"/>
      <c r="T126" s="1657"/>
      <c r="U126" s="1659"/>
    </row>
    <row r="127" spans="1:21">
      <c r="A127" s="1685"/>
      <c r="B127" s="1701"/>
      <c r="C127" s="1702"/>
      <c r="D127" s="1702"/>
      <c r="E127" s="1702"/>
      <c r="F127" s="1702"/>
      <c r="G127" s="1702"/>
      <c r="H127" s="1702"/>
      <c r="I127" s="1703"/>
      <c r="J127" s="1693"/>
      <c r="K127" s="1664"/>
      <c r="L127" s="1660">
        <v>45150</v>
      </c>
      <c r="M127" s="1651"/>
      <c r="N127" s="1655"/>
      <c r="O127" s="1651"/>
      <c r="P127" s="1653"/>
      <c r="Q127" s="1653"/>
      <c r="R127" s="1655"/>
      <c r="S127" s="1655"/>
      <c r="T127" s="1662">
        <f>$Q$7</f>
        <v>2014</v>
      </c>
      <c r="U127" s="1659">
        <f>Q121</f>
        <v>0</v>
      </c>
    </row>
    <row r="128" spans="1:21" ht="3" customHeight="1">
      <c r="A128" s="1685"/>
      <c r="B128" s="1704"/>
      <c r="C128" s="1705"/>
      <c r="D128" s="1705"/>
      <c r="E128" s="1705"/>
      <c r="F128" s="1705"/>
      <c r="G128" s="1705"/>
      <c r="H128" s="1705"/>
      <c r="I128" s="1706"/>
      <c r="J128" s="1693"/>
      <c r="K128" s="1664"/>
      <c r="L128" s="1660"/>
      <c r="M128" s="1651"/>
      <c r="N128" s="1652"/>
      <c r="O128" s="1651"/>
      <c r="P128" s="1654"/>
      <c r="Q128" s="1654"/>
      <c r="R128" s="1655"/>
      <c r="S128" s="1655"/>
      <c r="T128" s="1662"/>
      <c r="U128" s="1659"/>
    </row>
    <row r="129" spans="1:22" ht="12.75" customHeight="1">
      <c r="A129" s="1685"/>
      <c r="B129" s="1707" t="s">
        <v>355</v>
      </c>
      <c r="C129" s="1708"/>
      <c r="D129" s="1708"/>
      <c r="E129" s="1708"/>
      <c r="F129" s="1708"/>
      <c r="G129" s="1708"/>
      <c r="H129" s="1708"/>
      <c r="I129" s="1709"/>
      <c r="J129" s="1664"/>
      <c r="K129" s="1664"/>
      <c r="L129" s="1660"/>
      <c r="M129" s="1663" t="s">
        <v>129</v>
      </c>
      <c r="N129" s="1655">
        <f>SUM(P129:S132)</f>
        <v>402000</v>
      </c>
      <c r="O129" s="1651" t="s">
        <v>117</v>
      </c>
      <c r="P129" s="1652">
        <v>402000</v>
      </c>
      <c r="Q129" s="1652">
        <v>0</v>
      </c>
      <c r="R129" s="1655">
        <v>0</v>
      </c>
      <c r="S129" s="1655">
        <v>0</v>
      </c>
      <c r="T129" s="1662">
        <f>$R$7</f>
        <v>2015</v>
      </c>
      <c r="U129" s="1659">
        <f>R121</f>
        <v>0</v>
      </c>
    </row>
    <row r="130" spans="1:22">
      <c r="A130" s="1685"/>
      <c r="B130" s="1707"/>
      <c r="C130" s="1708"/>
      <c r="D130" s="1708"/>
      <c r="E130" s="1708"/>
      <c r="F130" s="1708"/>
      <c r="G130" s="1708"/>
      <c r="H130" s="1708"/>
      <c r="I130" s="1709"/>
      <c r="J130" s="1664"/>
      <c r="K130" s="1664"/>
      <c r="L130" s="1660"/>
      <c r="M130" s="1664"/>
      <c r="N130" s="1655"/>
      <c r="O130" s="1651"/>
      <c r="P130" s="1653"/>
      <c r="Q130" s="1653"/>
      <c r="R130" s="1655"/>
      <c r="S130" s="1655"/>
      <c r="T130" s="1662"/>
      <c r="U130" s="1659"/>
    </row>
    <row r="131" spans="1:22" ht="11.25" customHeight="1">
      <c r="A131" s="1685"/>
      <c r="B131" s="1707"/>
      <c r="C131" s="1708"/>
      <c r="D131" s="1708"/>
      <c r="E131" s="1708"/>
      <c r="F131" s="1708"/>
      <c r="G131" s="1708"/>
      <c r="H131" s="1708"/>
      <c r="I131" s="1709"/>
      <c r="J131" s="1664"/>
      <c r="K131" s="1664"/>
      <c r="L131" s="1660"/>
      <c r="M131" s="1664"/>
      <c r="N131" s="1655"/>
      <c r="O131" s="1651"/>
      <c r="P131" s="1653"/>
      <c r="Q131" s="1653"/>
      <c r="R131" s="1655"/>
      <c r="S131" s="1655"/>
      <c r="T131" s="1662">
        <f>$S$7</f>
        <v>2016</v>
      </c>
      <c r="U131" s="1659">
        <f>S121</f>
        <v>0</v>
      </c>
    </row>
    <row r="132" spans="1:22" ht="7.5" customHeight="1" thickBot="1">
      <c r="A132" s="1686"/>
      <c r="B132" s="1710"/>
      <c r="C132" s="1711"/>
      <c r="D132" s="1711"/>
      <c r="E132" s="1711"/>
      <c r="F132" s="1711"/>
      <c r="G132" s="1711"/>
      <c r="H132" s="1711"/>
      <c r="I132" s="1712"/>
      <c r="J132" s="1665"/>
      <c r="K132" s="1665"/>
      <c r="L132" s="1661"/>
      <c r="M132" s="1665"/>
      <c r="N132" s="1666"/>
      <c r="O132" s="1667"/>
      <c r="P132" s="1668"/>
      <c r="Q132" s="1668"/>
      <c r="R132" s="1666"/>
      <c r="S132" s="1666"/>
      <c r="T132" s="1669"/>
      <c r="U132" s="1670"/>
    </row>
    <row r="133" spans="1:22" ht="24" customHeight="1" thickTop="1" thickBot="1">
      <c r="A133" s="694"/>
      <c r="B133" s="693"/>
      <c r="C133" s="693"/>
      <c r="D133" s="693"/>
      <c r="E133" s="693"/>
      <c r="F133" s="693"/>
      <c r="G133" s="693"/>
      <c r="H133" s="693"/>
      <c r="I133" s="693"/>
      <c r="J133" s="65"/>
      <c r="K133" s="65"/>
      <c r="L133" s="64"/>
      <c r="M133" s="65"/>
      <c r="N133" s="195"/>
      <c r="O133" s="65"/>
      <c r="P133" s="195"/>
      <c r="Q133" s="195"/>
      <c r="R133" s="195"/>
      <c r="S133" s="195"/>
      <c r="T133" s="198"/>
      <c r="U133" s="196"/>
    </row>
    <row r="134" spans="1:22" ht="13.5" customHeight="1" thickTop="1">
      <c r="A134" s="1683">
        <v>9</v>
      </c>
      <c r="B134" s="1687" t="s">
        <v>106</v>
      </c>
      <c r="C134" s="1688"/>
      <c r="D134" s="1688">
        <v>900</v>
      </c>
      <c r="E134" s="1688"/>
      <c r="F134" s="1691" t="s">
        <v>346</v>
      </c>
      <c r="G134" s="1691"/>
      <c r="H134" s="1691"/>
      <c r="I134" s="1691"/>
      <c r="J134" s="1692">
        <v>2013</v>
      </c>
      <c r="K134" s="1692">
        <v>2015</v>
      </c>
      <c r="L134" s="1694">
        <v>51776311.399999999</v>
      </c>
      <c r="M134" s="1696" t="s">
        <v>125</v>
      </c>
      <c r="N134" s="1672">
        <f>IF(SUM(N138:N145)=T134,SUM(N138:N145),"wielbłąd")</f>
        <v>51756631.399999999</v>
      </c>
      <c r="O134" s="1671" t="s">
        <v>117</v>
      </c>
      <c r="P134" s="1672">
        <f t="shared" ref="P134" si="10">SUM(P138:P145)</f>
        <v>19044300</v>
      </c>
      <c r="Q134" s="1672">
        <f t="shared" ref="Q134:S134" si="11">SUM(Q138:Q145)</f>
        <v>28166306.93</v>
      </c>
      <c r="R134" s="1672">
        <f t="shared" si="11"/>
        <v>4546024.47</v>
      </c>
      <c r="S134" s="1672">
        <f t="shared" si="11"/>
        <v>0</v>
      </c>
      <c r="T134" s="1673">
        <f>SUM(U138:U145)</f>
        <v>51756631.399999999</v>
      </c>
      <c r="U134" s="1674"/>
      <c r="V134"/>
    </row>
    <row r="135" spans="1:22">
      <c r="A135" s="1684"/>
      <c r="B135" s="1689"/>
      <c r="C135" s="1690"/>
      <c r="D135" s="1690"/>
      <c r="E135" s="1690"/>
      <c r="F135" s="1681"/>
      <c r="G135" s="1681"/>
      <c r="H135" s="1681"/>
      <c r="I135" s="1681"/>
      <c r="J135" s="1664"/>
      <c r="K135" s="1664"/>
      <c r="L135" s="1695"/>
      <c r="M135" s="1697"/>
      <c r="N135" s="1660"/>
      <c r="O135" s="1651"/>
      <c r="P135" s="1660"/>
      <c r="Q135" s="1660"/>
      <c r="R135" s="1660"/>
      <c r="S135" s="1660"/>
      <c r="T135" s="1675"/>
      <c r="U135" s="1676"/>
      <c r="V135"/>
    </row>
    <row r="136" spans="1:22" ht="12.75" customHeight="1">
      <c r="A136" s="1684"/>
      <c r="B136" s="1679" t="s">
        <v>112</v>
      </c>
      <c r="C136" s="1651"/>
      <c r="D136" s="1651">
        <v>90002</v>
      </c>
      <c r="E136" s="1651"/>
      <c r="F136" s="1681" t="s">
        <v>347</v>
      </c>
      <c r="G136" s="1681"/>
      <c r="H136" s="1681"/>
      <c r="I136" s="1681"/>
      <c r="J136" s="1664"/>
      <c r="K136" s="1664"/>
      <c r="L136" s="1695"/>
      <c r="M136" s="1697"/>
      <c r="N136" s="1660"/>
      <c r="O136" s="1651"/>
      <c r="P136" s="1660"/>
      <c r="Q136" s="1660"/>
      <c r="R136" s="1660"/>
      <c r="S136" s="1660"/>
      <c r="T136" s="1675"/>
      <c r="U136" s="1676"/>
      <c r="V136"/>
    </row>
    <row r="137" spans="1:22">
      <c r="A137" s="1684"/>
      <c r="B137" s="1680"/>
      <c r="C137" s="1663"/>
      <c r="D137" s="1663"/>
      <c r="E137" s="1663"/>
      <c r="F137" s="1682"/>
      <c r="G137" s="1682"/>
      <c r="H137" s="1682"/>
      <c r="I137" s="1682"/>
      <c r="J137" s="1664"/>
      <c r="K137" s="1664"/>
      <c r="L137" s="1695"/>
      <c r="M137" s="1697"/>
      <c r="N137" s="1660"/>
      <c r="O137" s="1651"/>
      <c r="P137" s="1660"/>
      <c r="Q137" s="1660"/>
      <c r="R137" s="1660"/>
      <c r="S137" s="1660"/>
      <c r="T137" s="1677"/>
      <c r="U137" s="1678"/>
      <c r="V137"/>
    </row>
    <row r="138" spans="1:22" ht="12.75" customHeight="1">
      <c r="A138" s="1685"/>
      <c r="B138" s="1698" t="s">
        <v>336</v>
      </c>
      <c r="C138" s="1699"/>
      <c r="D138" s="1699"/>
      <c r="E138" s="1699"/>
      <c r="F138" s="1699"/>
      <c r="G138" s="1699"/>
      <c r="H138" s="1699"/>
      <c r="I138" s="1700"/>
      <c r="J138" s="1693"/>
      <c r="K138" s="1664"/>
      <c r="L138" s="1695"/>
      <c r="M138" s="1651" t="s">
        <v>128</v>
      </c>
      <c r="N138" s="1655">
        <f>SUM(P138:S141)</f>
        <v>43993136.689999998</v>
      </c>
      <c r="O138" s="1651" t="s">
        <v>117</v>
      </c>
      <c r="P138" s="1652">
        <v>16187655</v>
      </c>
      <c r="Q138" s="1652">
        <v>23941360.890000001</v>
      </c>
      <c r="R138" s="1655">
        <v>3864120.8</v>
      </c>
      <c r="S138" s="1655">
        <v>0</v>
      </c>
      <c r="T138" s="1656">
        <f>$P$7</f>
        <v>2013</v>
      </c>
      <c r="U138" s="1658">
        <f>P134</f>
        <v>19044300</v>
      </c>
      <c r="V138"/>
    </row>
    <row r="139" spans="1:22">
      <c r="A139" s="1685"/>
      <c r="B139" s="1701"/>
      <c r="C139" s="1702"/>
      <c r="D139" s="1702"/>
      <c r="E139" s="1702"/>
      <c r="F139" s="1702"/>
      <c r="G139" s="1702"/>
      <c r="H139" s="1702"/>
      <c r="I139" s="1703"/>
      <c r="J139" s="1693"/>
      <c r="K139" s="1664"/>
      <c r="L139" s="1695"/>
      <c r="M139" s="1651"/>
      <c r="N139" s="1655"/>
      <c r="O139" s="1651"/>
      <c r="P139" s="1653"/>
      <c r="Q139" s="1653"/>
      <c r="R139" s="1655"/>
      <c r="S139" s="1655"/>
      <c r="T139" s="1657"/>
      <c r="U139" s="1659"/>
      <c r="V139"/>
    </row>
    <row r="140" spans="1:22">
      <c r="A140" s="1685"/>
      <c r="B140" s="1701"/>
      <c r="C140" s="1702"/>
      <c r="D140" s="1702"/>
      <c r="E140" s="1702"/>
      <c r="F140" s="1702"/>
      <c r="G140" s="1702"/>
      <c r="H140" s="1702"/>
      <c r="I140" s="1703"/>
      <c r="J140" s="1693"/>
      <c r="K140" s="1664"/>
      <c r="L140" s="1660">
        <v>19680</v>
      </c>
      <c r="M140" s="1651"/>
      <c r="N140" s="1655"/>
      <c r="O140" s="1651"/>
      <c r="P140" s="1653"/>
      <c r="Q140" s="1653"/>
      <c r="R140" s="1655"/>
      <c r="S140" s="1655"/>
      <c r="T140" s="1662">
        <f>$Q$7</f>
        <v>2014</v>
      </c>
      <c r="U140" s="1659">
        <f>Q134</f>
        <v>28166306.93</v>
      </c>
      <c r="V140"/>
    </row>
    <row r="141" spans="1:22">
      <c r="A141" s="1685"/>
      <c r="B141" s="1704"/>
      <c r="C141" s="1705"/>
      <c r="D141" s="1705"/>
      <c r="E141" s="1705"/>
      <c r="F141" s="1705"/>
      <c r="G141" s="1705"/>
      <c r="H141" s="1705"/>
      <c r="I141" s="1706"/>
      <c r="J141" s="1693"/>
      <c r="K141" s="1664"/>
      <c r="L141" s="1660"/>
      <c r="M141" s="1651"/>
      <c r="N141" s="1652"/>
      <c r="O141" s="1651"/>
      <c r="P141" s="1654"/>
      <c r="Q141" s="1654"/>
      <c r="R141" s="1655"/>
      <c r="S141" s="1655"/>
      <c r="T141" s="1662"/>
      <c r="U141" s="1659"/>
      <c r="V141"/>
    </row>
    <row r="142" spans="1:22" ht="12.75" customHeight="1">
      <c r="A142" s="1685"/>
      <c r="B142" s="1707" t="s">
        <v>374</v>
      </c>
      <c r="C142" s="1708"/>
      <c r="D142" s="1708"/>
      <c r="E142" s="1708"/>
      <c r="F142" s="1708"/>
      <c r="G142" s="1708"/>
      <c r="H142" s="1708"/>
      <c r="I142" s="1709"/>
      <c r="J142" s="1664"/>
      <c r="K142" s="1664"/>
      <c r="L142" s="1660"/>
      <c r="M142" s="1663" t="s">
        <v>129</v>
      </c>
      <c r="N142" s="1655">
        <f>SUM(P142:S145)</f>
        <v>7763494.71</v>
      </c>
      <c r="O142" s="1651" t="s">
        <v>117</v>
      </c>
      <c r="P142" s="1652">
        <v>2856645</v>
      </c>
      <c r="Q142" s="1652">
        <v>4224946.04</v>
      </c>
      <c r="R142" s="1655">
        <v>681903.67</v>
      </c>
      <c r="S142" s="1655">
        <v>0</v>
      </c>
      <c r="T142" s="1662">
        <f>$R$7</f>
        <v>2015</v>
      </c>
      <c r="U142" s="1659">
        <f>R134</f>
        <v>4546024.47</v>
      </c>
      <c r="V142"/>
    </row>
    <row r="143" spans="1:22">
      <c r="A143" s="1685"/>
      <c r="B143" s="1707"/>
      <c r="C143" s="1708"/>
      <c r="D143" s="1708"/>
      <c r="E143" s="1708"/>
      <c r="F143" s="1708"/>
      <c r="G143" s="1708"/>
      <c r="H143" s="1708"/>
      <c r="I143" s="1709"/>
      <c r="J143" s="1664"/>
      <c r="K143" s="1664"/>
      <c r="L143" s="1660"/>
      <c r="M143" s="1664"/>
      <c r="N143" s="1655"/>
      <c r="O143" s="1651"/>
      <c r="P143" s="1653"/>
      <c r="Q143" s="1653"/>
      <c r="R143" s="1655"/>
      <c r="S143" s="1655"/>
      <c r="T143" s="1662"/>
      <c r="U143" s="1659"/>
      <c r="V143"/>
    </row>
    <row r="144" spans="1:22">
      <c r="A144" s="1685"/>
      <c r="B144" s="1707"/>
      <c r="C144" s="1708"/>
      <c r="D144" s="1708"/>
      <c r="E144" s="1708"/>
      <c r="F144" s="1708"/>
      <c r="G144" s="1708"/>
      <c r="H144" s="1708"/>
      <c r="I144" s="1709"/>
      <c r="J144" s="1664"/>
      <c r="K144" s="1664"/>
      <c r="L144" s="1660"/>
      <c r="M144" s="1664"/>
      <c r="N144" s="1655"/>
      <c r="O144" s="1651"/>
      <c r="P144" s="1653"/>
      <c r="Q144" s="1653"/>
      <c r="R144" s="1655"/>
      <c r="S144" s="1655"/>
      <c r="T144" s="1662">
        <f>$S$7</f>
        <v>2016</v>
      </c>
      <c r="U144" s="1659">
        <f>S134</f>
        <v>0</v>
      </c>
      <c r="V144"/>
    </row>
    <row r="145" spans="1:22" ht="13.5" thickBot="1">
      <c r="A145" s="1686"/>
      <c r="B145" s="1710"/>
      <c r="C145" s="1711"/>
      <c r="D145" s="1711"/>
      <c r="E145" s="1711"/>
      <c r="F145" s="1711"/>
      <c r="G145" s="1711"/>
      <c r="H145" s="1711"/>
      <c r="I145" s="1712"/>
      <c r="J145" s="1665"/>
      <c r="K145" s="1665"/>
      <c r="L145" s="1661"/>
      <c r="M145" s="1665"/>
      <c r="N145" s="1666"/>
      <c r="O145" s="1667"/>
      <c r="P145" s="1668"/>
      <c r="Q145" s="1668"/>
      <c r="R145" s="1666"/>
      <c r="S145" s="1666"/>
      <c r="T145" s="1669"/>
      <c r="U145" s="1670"/>
      <c r="V145"/>
    </row>
    <row r="146" spans="1:22" ht="12.75" customHeight="1" thickTop="1" thickBot="1">
      <c r="A146" s="694"/>
      <c r="B146" s="693"/>
      <c r="C146" s="693"/>
      <c r="D146" s="693"/>
      <c r="E146" s="693"/>
      <c r="F146" s="693"/>
      <c r="G146" s="693"/>
      <c r="H146" s="693"/>
      <c r="I146" s="693"/>
      <c r="J146" s="65"/>
      <c r="K146" s="65"/>
      <c r="L146" s="64"/>
      <c r="M146" s="65"/>
      <c r="N146" s="195"/>
      <c r="O146" s="65"/>
      <c r="P146" s="195"/>
      <c r="Q146" s="195"/>
      <c r="R146" s="195"/>
      <c r="S146" s="195"/>
      <c r="T146" s="198"/>
      <c r="U146" s="196"/>
    </row>
    <row r="147" spans="1:22" ht="12.75" customHeight="1" thickTop="1">
      <c r="A147" s="1683">
        <v>10</v>
      </c>
      <c r="B147" s="1687" t="s">
        <v>106</v>
      </c>
      <c r="C147" s="1688"/>
      <c r="D147" s="1688">
        <v>600</v>
      </c>
      <c r="E147" s="1688"/>
      <c r="F147" s="1691" t="s">
        <v>130</v>
      </c>
      <c r="G147" s="1691"/>
      <c r="H147" s="1691"/>
      <c r="I147" s="1691"/>
      <c r="J147" s="1692">
        <v>2012</v>
      </c>
      <c r="K147" s="1692">
        <v>2014</v>
      </c>
      <c r="L147" s="1694">
        <v>5318668.4000000004</v>
      </c>
      <c r="M147" s="1696" t="s">
        <v>125</v>
      </c>
      <c r="N147" s="1672">
        <f>IF(SUM(N151:N158)=T147,SUM(N151:N158),"wielbłąd")</f>
        <v>5206968.3999999994</v>
      </c>
      <c r="O147" s="1671" t="s">
        <v>117</v>
      </c>
      <c r="P147" s="1672">
        <f t="shared" ref="P147" si="12">SUM(P151:P158)</f>
        <v>2192300</v>
      </c>
      <c r="Q147" s="1672">
        <f t="shared" ref="Q147:S147" si="13">SUM(Q151:Q158)</f>
        <v>3014668.4</v>
      </c>
      <c r="R147" s="1672">
        <f t="shared" si="13"/>
        <v>0</v>
      </c>
      <c r="S147" s="1672">
        <f t="shared" si="13"/>
        <v>0</v>
      </c>
      <c r="T147" s="1673">
        <f>SUM(U151:U158)</f>
        <v>5206968.4000000004</v>
      </c>
      <c r="U147" s="1674"/>
    </row>
    <row r="148" spans="1:22" ht="12.75" customHeight="1">
      <c r="A148" s="1684"/>
      <c r="B148" s="1689"/>
      <c r="C148" s="1690"/>
      <c r="D148" s="1690"/>
      <c r="E148" s="1690"/>
      <c r="F148" s="1681"/>
      <c r="G148" s="1681"/>
      <c r="H148" s="1681"/>
      <c r="I148" s="1681"/>
      <c r="J148" s="1664"/>
      <c r="K148" s="1664"/>
      <c r="L148" s="1695"/>
      <c r="M148" s="1697"/>
      <c r="N148" s="1660"/>
      <c r="O148" s="1651"/>
      <c r="P148" s="1660"/>
      <c r="Q148" s="1660"/>
      <c r="R148" s="1660"/>
      <c r="S148" s="1660"/>
      <c r="T148" s="1675"/>
      <c r="U148" s="1676"/>
    </row>
    <row r="149" spans="1:22" ht="12.75" customHeight="1">
      <c r="A149" s="1684"/>
      <c r="B149" s="1679" t="s">
        <v>112</v>
      </c>
      <c r="C149" s="1651"/>
      <c r="D149" s="1651">
        <v>60013</v>
      </c>
      <c r="E149" s="1651"/>
      <c r="F149" s="1681" t="s">
        <v>386</v>
      </c>
      <c r="G149" s="1681"/>
      <c r="H149" s="1681"/>
      <c r="I149" s="1681"/>
      <c r="J149" s="1664"/>
      <c r="K149" s="1664"/>
      <c r="L149" s="1695"/>
      <c r="M149" s="1697"/>
      <c r="N149" s="1660"/>
      <c r="O149" s="1651"/>
      <c r="P149" s="1660"/>
      <c r="Q149" s="1660"/>
      <c r="R149" s="1660"/>
      <c r="S149" s="1660"/>
      <c r="T149" s="1675"/>
      <c r="U149" s="1676"/>
    </row>
    <row r="150" spans="1:22" ht="17.25" customHeight="1">
      <c r="A150" s="1684"/>
      <c r="B150" s="1680"/>
      <c r="C150" s="1663"/>
      <c r="D150" s="1663"/>
      <c r="E150" s="1663"/>
      <c r="F150" s="1682"/>
      <c r="G150" s="1682"/>
      <c r="H150" s="1682"/>
      <c r="I150" s="1682"/>
      <c r="J150" s="1664"/>
      <c r="K150" s="1664"/>
      <c r="L150" s="1695"/>
      <c r="M150" s="1697"/>
      <c r="N150" s="1660"/>
      <c r="O150" s="1651"/>
      <c r="P150" s="1660"/>
      <c r="Q150" s="1660"/>
      <c r="R150" s="1660"/>
      <c r="S150" s="1660"/>
      <c r="T150" s="1677"/>
      <c r="U150" s="1678"/>
    </row>
    <row r="151" spans="1:22" ht="12.75" customHeight="1">
      <c r="A151" s="1685"/>
      <c r="B151" s="1698" t="s">
        <v>387</v>
      </c>
      <c r="C151" s="1699"/>
      <c r="D151" s="1699"/>
      <c r="E151" s="1699"/>
      <c r="F151" s="1699"/>
      <c r="G151" s="1699"/>
      <c r="H151" s="1699"/>
      <c r="I151" s="1700"/>
      <c r="J151" s="1693"/>
      <c r="K151" s="1664"/>
      <c r="L151" s="1695"/>
      <c r="M151" s="1651" t="s">
        <v>388</v>
      </c>
      <c r="N151" s="1655">
        <f>SUM(P151:S154)</f>
        <v>4520868.1399999997</v>
      </c>
      <c r="O151" s="1651" t="s">
        <v>117</v>
      </c>
      <c r="P151" s="1652">
        <v>1929739.7</v>
      </c>
      <c r="Q151" s="1652">
        <v>2591128.44</v>
      </c>
      <c r="R151" s="1655">
        <v>0</v>
      </c>
      <c r="S151" s="1655">
        <v>0</v>
      </c>
      <c r="T151" s="1656">
        <f>$P$7</f>
        <v>2013</v>
      </c>
      <c r="U151" s="1658">
        <f>P147</f>
        <v>2192300</v>
      </c>
    </row>
    <row r="152" spans="1:22" ht="12.75" customHeight="1">
      <c r="A152" s="1685"/>
      <c r="B152" s="1701"/>
      <c r="C152" s="1702"/>
      <c r="D152" s="1702"/>
      <c r="E152" s="1702"/>
      <c r="F152" s="1702"/>
      <c r="G152" s="1702"/>
      <c r="H152" s="1702"/>
      <c r="I152" s="1703"/>
      <c r="J152" s="1693"/>
      <c r="K152" s="1664"/>
      <c r="L152" s="1695"/>
      <c r="M152" s="1651"/>
      <c r="N152" s="1655"/>
      <c r="O152" s="1651"/>
      <c r="P152" s="1653"/>
      <c r="Q152" s="1653"/>
      <c r="R152" s="1655"/>
      <c r="S152" s="1655"/>
      <c r="T152" s="1657"/>
      <c r="U152" s="1659"/>
    </row>
    <row r="153" spans="1:22" ht="18.75" customHeight="1">
      <c r="A153" s="1685"/>
      <c r="B153" s="1701"/>
      <c r="C153" s="1702"/>
      <c r="D153" s="1702"/>
      <c r="E153" s="1702"/>
      <c r="F153" s="1702"/>
      <c r="G153" s="1702"/>
      <c r="H153" s="1702"/>
      <c r="I153" s="1703"/>
      <c r="J153" s="1693"/>
      <c r="K153" s="1664"/>
      <c r="L153" s="1660">
        <v>111700</v>
      </c>
      <c r="M153" s="1651"/>
      <c r="N153" s="1655"/>
      <c r="O153" s="1651"/>
      <c r="P153" s="1653"/>
      <c r="Q153" s="1653"/>
      <c r="R153" s="1655"/>
      <c r="S153" s="1655"/>
      <c r="T153" s="1662">
        <f>$Q$7</f>
        <v>2014</v>
      </c>
      <c r="U153" s="1659">
        <f>Q147</f>
        <v>3014668.4</v>
      </c>
    </row>
    <row r="154" spans="1:22" ht="12.75" customHeight="1">
      <c r="A154" s="1685"/>
      <c r="B154" s="1704"/>
      <c r="C154" s="1705"/>
      <c r="D154" s="1705"/>
      <c r="E154" s="1705"/>
      <c r="F154" s="1705"/>
      <c r="G154" s="1705"/>
      <c r="H154" s="1705"/>
      <c r="I154" s="1706"/>
      <c r="J154" s="1693"/>
      <c r="K154" s="1664"/>
      <c r="L154" s="1660"/>
      <c r="M154" s="1651"/>
      <c r="N154" s="1652"/>
      <c r="O154" s="1651"/>
      <c r="P154" s="1654"/>
      <c r="Q154" s="1654"/>
      <c r="R154" s="1655"/>
      <c r="S154" s="1655"/>
      <c r="T154" s="1662"/>
      <c r="U154" s="1659"/>
    </row>
    <row r="155" spans="1:22" ht="12.75" customHeight="1">
      <c r="A155" s="1685"/>
      <c r="B155" s="1707" t="s">
        <v>440</v>
      </c>
      <c r="C155" s="1708"/>
      <c r="D155" s="1708"/>
      <c r="E155" s="1708"/>
      <c r="F155" s="1708"/>
      <c r="G155" s="1708"/>
      <c r="H155" s="1708"/>
      <c r="I155" s="1709"/>
      <c r="J155" s="1664"/>
      <c r="K155" s="1664"/>
      <c r="L155" s="1660"/>
      <c r="M155" s="1663" t="s">
        <v>129</v>
      </c>
      <c r="N155" s="1655">
        <f>SUM(P155:S158)</f>
        <v>686100.26</v>
      </c>
      <c r="O155" s="1651" t="s">
        <v>117</v>
      </c>
      <c r="P155" s="1652">
        <v>262560.3</v>
      </c>
      <c r="Q155" s="1652">
        <v>423539.96</v>
      </c>
      <c r="R155" s="1655">
        <v>0</v>
      </c>
      <c r="S155" s="1655">
        <v>0</v>
      </c>
      <c r="T155" s="1662">
        <f>$R$7</f>
        <v>2015</v>
      </c>
      <c r="U155" s="1659">
        <f>R147</f>
        <v>0</v>
      </c>
    </row>
    <row r="156" spans="1:22" ht="12.75" customHeight="1">
      <c r="A156" s="1685"/>
      <c r="B156" s="1707"/>
      <c r="C156" s="1708"/>
      <c r="D156" s="1708"/>
      <c r="E156" s="1708"/>
      <c r="F156" s="1708"/>
      <c r="G156" s="1708"/>
      <c r="H156" s="1708"/>
      <c r="I156" s="1709"/>
      <c r="J156" s="1664"/>
      <c r="K156" s="1664"/>
      <c r="L156" s="1660"/>
      <c r="M156" s="1664"/>
      <c r="N156" s="1655"/>
      <c r="O156" s="1651"/>
      <c r="P156" s="1653"/>
      <c r="Q156" s="1653"/>
      <c r="R156" s="1655"/>
      <c r="S156" s="1655"/>
      <c r="T156" s="1662"/>
      <c r="U156" s="1659"/>
    </row>
    <row r="157" spans="1:22" ht="12.75" customHeight="1">
      <c r="A157" s="1685"/>
      <c r="B157" s="1707"/>
      <c r="C157" s="1708"/>
      <c r="D157" s="1708"/>
      <c r="E157" s="1708"/>
      <c r="F157" s="1708"/>
      <c r="G157" s="1708"/>
      <c r="H157" s="1708"/>
      <c r="I157" s="1709"/>
      <c r="J157" s="1664"/>
      <c r="K157" s="1664"/>
      <c r="L157" s="1660"/>
      <c r="M157" s="1664"/>
      <c r="N157" s="1655"/>
      <c r="O157" s="1651"/>
      <c r="P157" s="1653"/>
      <c r="Q157" s="1653"/>
      <c r="R157" s="1655"/>
      <c r="S157" s="1655"/>
      <c r="T157" s="1662">
        <f>$S$7</f>
        <v>2016</v>
      </c>
      <c r="U157" s="1659">
        <f>S147</f>
        <v>0</v>
      </c>
    </row>
    <row r="158" spans="1:22" ht="13.5" customHeight="1" thickBot="1">
      <c r="A158" s="1686"/>
      <c r="B158" s="1710"/>
      <c r="C158" s="1711"/>
      <c r="D158" s="1711"/>
      <c r="E158" s="1711"/>
      <c r="F158" s="1711"/>
      <c r="G158" s="1711"/>
      <c r="H158" s="1711"/>
      <c r="I158" s="1712"/>
      <c r="J158" s="1665"/>
      <c r="K158" s="1665"/>
      <c r="L158" s="1661"/>
      <c r="M158" s="1665"/>
      <c r="N158" s="1666"/>
      <c r="O158" s="1667"/>
      <c r="P158" s="1668"/>
      <c r="Q158" s="1668"/>
      <c r="R158" s="1666"/>
      <c r="S158" s="1666"/>
      <c r="T158" s="1669"/>
      <c r="U158" s="1670"/>
    </row>
    <row r="159" spans="1:22" ht="14.25" thickTop="1" thickBot="1">
      <c r="A159" s="694"/>
      <c r="B159" s="693"/>
      <c r="C159" s="693"/>
      <c r="D159" s="693"/>
      <c r="E159" s="693"/>
      <c r="F159" s="693"/>
      <c r="G159" s="693"/>
      <c r="H159" s="693"/>
      <c r="I159" s="693"/>
      <c r="J159" s="65"/>
      <c r="K159" s="65"/>
      <c r="L159" s="64"/>
      <c r="M159" s="65"/>
      <c r="N159" s="195"/>
      <c r="O159" s="65"/>
      <c r="P159" s="195"/>
      <c r="Q159" s="195"/>
      <c r="R159" s="195"/>
      <c r="S159" s="195"/>
      <c r="T159" s="198"/>
      <c r="U159" s="196"/>
    </row>
    <row r="160" spans="1:22" ht="13.5" thickTop="1">
      <c r="A160" s="1683">
        <v>11</v>
      </c>
      <c r="B160" s="1687" t="s">
        <v>106</v>
      </c>
      <c r="C160" s="1688"/>
      <c r="D160" s="1688">
        <v>600</v>
      </c>
      <c r="E160" s="1688"/>
      <c r="F160" s="1691" t="s">
        <v>130</v>
      </c>
      <c r="G160" s="1691"/>
      <c r="H160" s="1691"/>
      <c r="I160" s="1691"/>
      <c r="J160" s="1692">
        <v>2012</v>
      </c>
      <c r="K160" s="1692">
        <v>2014</v>
      </c>
      <c r="L160" s="1694">
        <v>5055870.09</v>
      </c>
      <c r="M160" s="1696" t="s">
        <v>125</v>
      </c>
      <c r="N160" s="1672">
        <f>IF(SUM(N164:N171)=T160,SUM(N164:N171),"wielbłąd")</f>
        <v>4976570.09</v>
      </c>
      <c r="O160" s="1671" t="s">
        <v>117</v>
      </c>
      <c r="P160" s="1672">
        <f t="shared" ref="P160" si="14">SUM(P164:P171)</f>
        <v>2218000</v>
      </c>
      <c r="Q160" s="1672">
        <f t="shared" ref="Q160:S160" si="15">SUM(Q164:Q171)</f>
        <v>2758570.09</v>
      </c>
      <c r="R160" s="1672">
        <f t="shared" si="15"/>
        <v>0</v>
      </c>
      <c r="S160" s="1672">
        <f t="shared" si="15"/>
        <v>0</v>
      </c>
      <c r="T160" s="1673">
        <f>SUM(U164:U171)</f>
        <v>4976570.09</v>
      </c>
      <c r="U160" s="1674"/>
    </row>
    <row r="161" spans="1:21">
      <c r="A161" s="1684"/>
      <c r="B161" s="1689"/>
      <c r="C161" s="1690"/>
      <c r="D161" s="1690"/>
      <c r="E161" s="1690"/>
      <c r="F161" s="1681"/>
      <c r="G161" s="1681"/>
      <c r="H161" s="1681"/>
      <c r="I161" s="1681"/>
      <c r="J161" s="1664"/>
      <c r="K161" s="1664"/>
      <c r="L161" s="1695"/>
      <c r="M161" s="1697"/>
      <c r="N161" s="1660"/>
      <c r="O161" s="1651"/>
      <c r="P161" s="1660"/>
      <c r="Q161" s="1660"/>
      <c r="R161" s="1660"/>
      <c r="S161" s="1660"/>
      <c r="T161" s="1675"/>
      <c r="U161" s="1676"/>
    </row>
    <row r="162" spans="1:21" ht="12.75" customHeight="1">
      <c r="A162" s="1684"/>
      <c r="B162" s="1679" t="s">
        <v>112</v>
      </c>
      <c r="C162" s="1651"/>
      <c r="D162" s="1651">
        <v>60016</v>
      </c>
      <c r="E162" s="1651"/>
      <c r="F162" s="1681" t="s">
        <v>133</v>
      </c>
      <c r="G162" s="1681"/>
      <c r="H162" s="1681"/>
      <c r="I162" s="1681"/>
      <c r="J162" s="1664"/>
      <c r="K162" s="1664"/>
      <c r="L162" s="1695"/>
      <c r="M162" s="1697"/>
      <c r="N162" s="1660"/>
      <c r="O162" s="1651"/>
      <c r="P162" s="1660"/>
      <c r="Q162" s="1660"/>
      <c r="R162" s="1660"/>
      <c r="S162" s="1660"/>
      <c r="T162" s="1675"/>
      <c r="U162" s="1676"/>
    </row>
    <row r="163" spans="1:21">
      <c r="A163" s="1684"/>
      <c r="B163" s="1680"/>
      <c r="C163" s="1663"/>
      <c r="D163" s="1663"/>
      <c r="E163" s="1663"/>
      <c r="F163" s="1682"/>
      <c r="G163" s="1682"/>
      <c r="H163" s="1682"/>
      <c r="I163" s="1682"/>
      <c r="J163" s="1664"/>
      <c r="K163" s="1664"/>
      <c r="L163" s="1695"/>
      <c r="M163" s="1697"/>
      <c r="N163" s="1660"/>
      <c r="O163" s="1651"/>
      <c r="P163" s="1660"/>
      <c r="Q163" s="1660"/>
      <c r="R163" s="1660"/>
      <c r="S163" s="1660"/>
      <c r="T163" s="1677"/>
      <c r="U163" s="1678"/>
    </row>
    <row r="164" spans="1:21" ht="12.75" customHeight="1">
      <c r="A164" s="1685"/>
      <c r="B164" s="1698" t="s">
        <v>410</v>
      </c>
      <c r="C164" s="1699"/>
      <c r="D164" s="1699"/>
      <c r="E164" s="1699"/>
      <c r="F164" s="1699"/>
      <c r="G164" s="1699"/>
      <c r="H164" s="1699"/>
      <c r="I164" s="1700"/>
      <c r="J164" s="1693"/>
      <c r="K164" s="1664"/>
      <c r="L164" s="1695"/>
      <c r="M164" s="1651" t="s">
        <v>152</v>
      </c>
      <c r="N164" s="1655">
        <f>SUM(P164:S167)</f>
        <v>4297489.57</v>
      </c>
      <c r="O164" s="1651" t="s">
        <v>117</v>
      </c>
      <c r="P164" s="1652">
        <v>1914376</v>
      </c>
      <c r="Q164" s="1652">
        <v>2383113.5699999998</v>
      </c>
      <c r="R164" s="1655">
        <v>0</v>
      </c>
      <c r="S164" s="1655">
        <v>0</v>
      </c>
      <c r="T164" s="1656">
        <f>$P$7</f>
        <v>2013</v>
      </c>
      <c r="U164" s="1658">
        <f>P160</f>
        <v>2218000</v>
      </c>
    </row>
    <row r="165" spans="1:21">
      <c r="A165" s="1685"/>
      <c r="B165" s="1701"/>
      <c r="C165" s="1702"/>
      <c r="D165" s="1702"/>
      <c r="E165" s="1702"/>
      <c r="F165" s="1702"/>
      <c r="G165" s="1702"/>
      <c r="H165" s="1702"/>
      <c r="I165" s="1703"/>
      <c r="J165" s="1693"/>
      <c r="K165" s="1664"/>
      <c r="L165" s="1695"/>
      <c r="M165" s="1651"/>
      <c r="N165" s="1655"/>
      <c r="O165" s="1651"/>
      <c r="P165" s="1653"/>
      <c r="Q165" s="1653"/>
      <c r="R165" s="1655"/>
      <c r="S165" s="1655"/>
      <c r="T165" s="1657"/>
      <c r="U165" s="1659"/>
    </row>
    <row r="166" spans="1:21">
      <c r="A166" s="1685"/>
      <c r="B166" s="1701"/>
      <c r="C166" s="1702"/>
      <c r="D166" s="1702"/>
      <c r="E166" s="1702"/>
      <c r="F166" s="1702"/>
      <c r="G166" s="1702"/>
      <c r="H166" s="1702"/>
      <c r="I166" s="1703"/>
      <c r="J166" s="1693"/>
      <c r="K166" s="1664"/>
      <c r="L166" s="1660">
        <v>79300</v>
      </c>
      <c r="M166" s="1651"/>
      <c r="N166" s="1655"/>
      <c r="O166" s="1651"/>
      <c r="P166" s="1653"/>
      <c r="Q166" s="1653"/>
      <c r="R166" s="1655"/>
      <c r="S166" s="1655"/>
      <c r="T166" s="1662">
        <f>$Q$7</f>
        <v>2014</v>
      </c>
      <c r="U166" s="1659">
        <f>Q160</f>
        <v>2758570.09</v>
      </c>
    </row>
    <row r="167" spans="1:21" ht="21" customHeight="1">
      <c r="A167" s="1685"/>
      <c r="B167" s="1704"/>
      <c r="C167" s="1705"/>
      <c r="D167" s="1705"/>
      <c r="E167" s="1705"/>
      <c r="F167" s="1705"/>
      <c r="G167" s="1705"/>
      <c r="H167" s="1705"/>
      <c r="I167" s="1706"/>
      <c r="J167" s="1693"/>
      <c r="K167" s="1664"/>
      <c r="L167" s="1660"/>
      <c r="M167" s="1651"/>
      <c r="N167" s="1652"/>
      <c r="O167" s="1651"/>
      <c r="P167" s="1654"/>
      <c r="Q167" s="1654"/>
      <c r="R167" s="1655"/>
      <c r="S167" s="1655"/>
      <c r="T167" s="1662"/>
      <c r="U167" s="1659"/>
    </row>
    <row r="168" spans="1:21" ht="12.75" customHeight="1">
      <c r="A168" s="1685"/>
      <c r="B168" s="1707" t="s">
        <v>441</v>
      </c>
      <c r="C168" s="1708"/>
      <c r="D168" s="1708"/>
      <c r="E168" s="1708"/>
      <c r="F168" s="1708"/>
      <c r="G168" s="1708"/>
      <c r="H168" s="1708"/>
      <c r="I168" s="1709"/>
      <c r="J168" s="1664"/>
      <c r="K168" s="1664"/>
      <c r="L168" s="1660"/>
      <c r="M168" s="1663" t="s">
        <v>129</v>
      </c>
      <c r="N168" s="1655">
        <f>SUM(P168:S171)</f>
        <v>679080.52</v>
      </c>
      <c r="O168" s="1651" t="s">
        <v>117</v>
      </c>
      <c r="P168" s="1652">
        <v>303624</v>
      </c>
      <c r="Q168" s="1652">
        <v>375456.52</v>
      </c>
      <c r="R168" s="1655">
        <v>0</v>
      </c>
      <c r="S168" s="1655">
        <v>0</v>
      </c>
      <c r="T168" s="1662">
        <f>$R$7</f>
        <v>2015</v>
      </c>
      <c r="U168" s="1659">
        <f>R160</f>
        <v>0</v>
      </c>
    </row>
    <row r="169" spans="1:21">
      <c r="A169" s="1685"/>
      <c r="B169" s="1707"/>
      <c r="C169" s="1708"/>
      <c r="D169" s="1708"/>
      <c r="E169" s="1708"/>
      <c r="F169" s="1708"/>
      <c r="G169" s="1708"/>
      <c r="H169" s="1708"/>
      <c r="I169" s="1709"/>
      <c r="J169" s="1664"/>
      <c r="K169" s="1664"/>
      <c r="L169" s="1660"/>
      <c r="M169" s="1664"/>
      <c r="N169" s="1655"/>
      <c r="O169" s="1651"/>
      <c r="P169" s="1653"/>
      <c r="Q169" s="1653"/>
      <c r="R169" s="1655"/>
      <c r="S169" s="1655"/>
      <c r="T169" s="1662"/>
      <c r="U169" s="1659"/>
    </row>
    <row r="170" spans="1:21">
      <c r="A170" s="1685"/>
      <c r="B170" s="1707"/>
      <c r="C170" s="1708"/>
      <c r="D170" s="1708"/>
      <c r="E170" s="1708"/>
      <c r="F170" s="1708"/>
      <c r="G170" s="1708"/>
      <c r="H170" s="1708"/>
      <c r="I170" s="1709"/>
      <c r="J170" s="1664"/>
      <c r="K170" s="1664"/>
      <c r="L170" s="1660"/>
      <c r="M170" s="1664"/>
      <c r="N170" s="1655"/>
      <c r="O170" s="1651"/>
      <c r="P170" s="1653"/>
      <c r="Q170" s="1653"/>
      <c r="R170" s="1655"/>
      <c r="S170" s="1655"/>
      <c r="T170" s="1662">
        <f>$S$7</f>
        <v>2016</v>
      </c>
      <c r="U170" s="1659">
        <f>S160</f>
        <v>0</v>
      </c>
    </row>
    <row r="171" spans="1:21" ht="13.5" thickBot="1">
      <c r="A171" s="1686"/>
      <c r="B171" s="1710"/>
      <c r="C171" s="1711"/>
      <c r="D171" s="1711"/>
      <c r="E171" s="1711"/>
      <c r="F171" s="1711"/>
      <c r="G171" s="1711"/>
      <c r="H171" s="1711"/>
      <c r="I171" s="1712"/>
      <c r="J171" s="1665"/>
      <c r="K171" s="1665"/>
      <c r="L171" s="1661"/>
      <c r="M171" s="1665"/>
      <c r="N171" s="1666"/>
      <c r="O171" s="1667"/>
      <c r="P171" s="1668"/>
      <c r="Q171" s="1668"/>
      <c r="R171" s="1666"/>
      <c r="S171" s="1666"/>
      <c r="T171" s="1669"/>
      <c r="U171" s="1670"/>
    </row>
    <row r="172" spans="1:21" ht="14.25" thickTop="1" thickBot="1">
      <c r="A172" s="694"/>
      <c r="B172" s="693"/>
      <c r="C172" s="693"/>
      <c r="D172" s="693"/>
      <c r="E172" s="693"/>
      <c r="F172" s="693"/>
      <c r="G172" s="693"/>
      <c r="H172" s="693"/>
      <c r="I172" s="693"/>
      <c r="J172" s="65"/>
      <c r="K172" s="65"/>
      <c r="L172" s="64"/>
      <c r="M172" s="65"/>
      <c r="N172" s="195"/>
      <c r="O172" s="65"/>
      <c r="P172" s="195"/>
      <c r="Q172" s="195"/>
      <c r="R172" s="195"/>
      <c r="S172" s="195"/>
      <c r="T172" s="198"/>
      <c r="U172" s="196"/>
    </row>
    <row r="173" spans="1:21" ht="13.5" thickTop="1">
      <c r="A173" s="1683">
        <v>12</v>
      </c>
      <c r="B173" s="1687" t="s">
        <v>106</v>
      </c>
      <c r="C173" s="1688"/>
      <c r="D173" s="1688">
        <v>801</v>
      </c>
      <c r="E173" s="1688"/>
      <c r="F173" s="1691" t="s">
        <v>150</v>
      </c>
      <c r="G173" s="1691"/>
      <c r="H173" s="1691"/>
      <c r="I173" s="1691"/>
      <c r="J173" s="1692">
        <v>2011</v>
      </c>
      <c r="K173" s="1692">
        <v>2013</v>
      </c>
      <c r="L173" s="1694">
        <v>59275</v>
      </c>
      <c r="M173" s="1696" t="s">
        <v>125</v>
      </c>
      <c r="N173" s="1672">
        <f>IF(SUM(N177:N184)=T173,SUM(N177:N184),"wielbłąd")</f>
        <v>59275</v>
      </c>
      <c r="O173" s="1671" t="s">
        <v>117</v>
      </c>
      <c r="P173" s="1672">
        <f t="shared" ref="P173" si="16">SUM(P177:P184)</f>
        <v>59275</v>
      </c>
      <c r="Q173" s="1672">
        <f t="shared" ref="Q173:S173" si="17">SUM(Q177:Q184)</f>
        <v>0</v>
      </c>
      <c r="R173" s="1672">
        <f t="shared" si="17"/>
        <v>0</v>
      </c>
      <c r="S173" s="1672">
        <f t="shared" si="17"/>
        <v>0</v>
      </c>
      <c r="T173" s="1673">
        <f>SUM(U177:U184)</f>
        <v>59275</v>
      </c>
      <c r="U173" s="1674"/>
    </row>
    <row r="174" spans="1:21">
      <c r="A174" s="1684"/>
      <c r="B174" s="1689"/>
      <c r="C174" s="1690"/>
      <c r="D174" s="1690"/>
      <c r="E174" s="1690"/>
      <c r="F174" s="1681"/>
      <c r="G174" s="1681"/>
      <c r="H174" s="1681"/>
      <c r="I174" s="1681"/>
      <c r="J174" s="1664"/>
      <c r="K174" s="1664"/>
      <c r="L174" s="1695"/>
      <c r="M174" s="1697"/>
      <c r="N174" s="1660"/>
      <c r="O174" s="1651"/>
      <c r="P174" s="1660"/>
      <c r="Q174" s="1660"/>
      <c r="R174" s="1660"/>
      <c r="S174" s="1660"/>
      <c r="T174" s="1675"/>
      <c r="U174" s="1676"/>
    </row>
    <row r="175" spans="1:21">
      <c r="A175" s="1684"/>
      <c r="B175" s="1679" t="s">
        <v>112</v>
      </c>
      <c r="C175" s="1651"/>
      <c r="D175" s="1651">
        <v>80195</v>
      </c>
      <c r="E175" s="1651"/>
      <c r="F175" s="1681" t="s">
        <v>356</v>
      </c>
      <c r="G175" s="1681"/>
      <c r="H175" s="1681"/>
      <c r="I175" s="1681"/>
      <c r="J175" s="1664"/>
      <c r="K175" s="1664"/>
      <c r="L175" s="1695"/>
      <c r="M175" s="1697"/>
      <c r="N175" s="1660"/>
      <c r="O175" s="1651"/>
      <c r="P175" s="1660"/>
      <c r="Q175" s="1660"/>
      <c r="R175" s="1660"/>
      <c r="S175" s="1660"/>
      <c r="T175" s="1675"/>
      <c r="U175" s="1676"/>
    </row>
    <row r="176" spans="1:21">
      <c r="A176" s="1684"/>
      <c r="B176" s="1680"/>
      <c r="C176" s="1663"/>
      <c r="D176" s="1663"/>
      <c r="E176" s="1663"/>
      <c r="F176" s="1682"/>
      <c r="G176" s="1682"/>
      <c r="H176" s="1682"/>
      <c r="I176" s="1682"/>
      <c r="J176" s="1664"/>
      <c r="K176" s="1664"/>
      <c r="L176" s="1695"/>
      <c r="M176" s="1697"/>
      <c r="N176" s="1660"/>
      <c r="O176" s="1651"/>
      <c r="P176" s="1660"/>
      <c r="Q176" s="1660"/>
      <c r="R176" s="1660"/>
      <c r="S176" s="1660"/>
      <c r="T176" s="1677"/>
      <c r="U176" s="1678"/>
    </row>
    <row r="177" spans="1:21">
      <c r="A177" s="1685"/>
      <c r="B177" s="1698" t="s">
        <v>428</v>
      </c>
      <c r="C177" s="1699"/>
      <c r="D177" s="1699"/>
      <c r="E177" s="1699"/>
      <c r="F177" s="1699"/>
      <c r="G177" s="1699"/>
      <c r="H177" s="1699"/>
      <c r="I177" s="1700"/>
      <c r="J177" s="1693"/>
      <c r="K177" s="1664"/>
      <c r="L177" s="1695"/>
      <c r="M177" s="1651" t="s">
        <v>152</v>
      </c>
      <c r="N177" s="1655">
        <f>SUM(P177:S180)</f>
        <v>49552</v>
      </c>
      <c r="O177" s="1651" t="s">
        <v>117</v>
      </c>
      <c r="P177" s="1652">
        <v>49552</v>
      </c>
      <c r="Q177" s="1652">
        <v>0</v>
      </c>
      <c r="R177" s="1655">
        <v>0</v>
      </c>
      <c r="S177" s="1655">
        <v>0</v>
      </c>
      <c r="T177" s="1656">
        <v>2013</v>
      </c>
      <c r="U177" s="1658">
        <f>P173</f>
        <v>59275</v>
      </c>
    </row>
    <row r="178" spans="1:21">
      <c r="A178" s="1685"/>
      <c r="B178" s="1701"/>
      <c r="C178" s="1702"/>
      <c r="D178" s="1702"/>
      <c r="E178" s="1702"/>
      <c r="F178" s="1702"/>
      <c r="G178" s="1702"/>
      <c r="H178" s="1702"/>
      <c r="I178" s="1703"/>
      <c r="J178" s="1693"/>
      <c r="K178" s="1664"/>
      <c r="L178" s="1695"/>
      <c r="M178" s="1651"/>
      <c r="N178" s="1655"/>
      <c r="O178" s="1651"/>
      <c r="P178" s="1653"/>
      <c r="Q178" s="1653"/>
      <c r="R178" s="1655"/>
      <c r="S178" s="1655"/>
      <c r="T178" s="1657"/>
      <c r="U178" s="1659"/>
    </row>
    <row r="179" spans="1:21">
      <c r="A179" s="1685"/>
      <c r="B179" s="1701"/>
      <c r="C179" s="1702"/>
      <c r="D179" s="1702"/>
      <c r="E179" s="1702"/>
      <c r="F179" s="1702"/>
      <c r="G179" s="1702"/>
      <c r="H179" s="1702"/>
      <c r="I179" s="1703"/>
      <c r="J179" s="1693"/>
      <c r="K179" s="1664"/>
      <c r="L179" s="1660">
        <v>0</v>
      </c>
      <c r="M179" s="1651"/>
      <c r="N179" s="1655"/>
      <c r="O179" s="1651"/>
      <c r="P179" s="1653"/>
      <c r="Q179" s="1653"/>
      <c r="R179" s="1655"/>
      <c r="S179" s="1655"/>
      <c r="T179" s="1662">
        <v>2014</v>
      </c>
      <c r="U179" s="1659">
        <f>Q173</f>
        <v>0</v>
      </c>
    </row>
    <row r="180" spans="1:21">
      <c r="A180" s="1685"/>
      <c r="B180" s="1704"/>
      <c r="C180" s="1705"/>
      <c r="D180" s="1705"/>
      <c r="E180" s="1705"/>
      <c r="F180" s="1705"/>
      <c r="G180" s="1705"/>
      <c r="H180" s="1705"/>
      <c r="I180" s="1706"/>
      <c r="J180" s="1693"/>
      <c r="K180" s="1664"/>
      <c r="L180" s="1660"/>
      <c r="M180" s="1651"/>
      <c r="N180" s="1652"/>
      <c r="O180" s="1651"/>
      <c r="P180" s="1654"/>
      <c r="Q180" s="1654"/>
      <c r="R180" s="1655"/>
      <c r="S180" s="1655"/>
      <c r="T180" s="1662"/>
      <c r="U180" s="1659"/>
    </row>
    <row r="181" spans="1:21">
      <c r="A181" s="1685"/>
      <c r="B181" s="1707" t="s">
        <v>357</v>
      </c>
      <c r="C181" s="1708"/>
      <c r="D181" s="1708"/>
      <c r="E181" s="1708"/>
      <c r="F181" s="1708"/>
      <c r="G181" s="1708"/>
      <c r="H181" s="1708"/>
      <c r="I181" s="1709"/>
      <c r="J181" s="1664"/>
      <c r="K181" s="1664"/>
      <c r="L181" s="1660"/>
      <c r="M181" s="1663" t="s">
        <v>429</v>
      </c>
      <c r="N181" s="1655">
        <f>SUM(P181:S184)</f>
        <v>9723</v>
      </c>
      <c r="O181" s="1651" t="s">
        <v>117</v>
      </c>
      <c r="P181" s="1652">
        <v>9723</v>
      </c>
      <c r="Q181" s="1652">
        <v>0</v>
      </c>
      <c r="R181" s="1655">
        <v>0</v>
      </c>
      <c r="S181" s="1655">
        <v>0</v>
      </c>
      <c r="T181" s="1662"/>
      <c r="U181" s="1659"/>
    </row>
    <row r="182" spans="1:21">
      <c r="A182" s="1685"/>
      <c r="B182" s="1707"/>
      <c r="C182" s="1708"/>
      <c r="D182" s="1708"/>
      <c r="E182" s="1708"/>
      <c r="F182" s="1708"/>
      <c r="G182" s="1708"/>
      <c r="H182" s="1708"/>
      <c r="I182" s="1709"/>
      <c r="J182" s="1664"/>
      <c r="K182" s="1664"/>
      <c r="L182" s="1660"/>
      <c r="M182" s="1664"/>
      <c r="N182" s="1655"/>
      <c r="O182" s="1651"/>
      <c r="P182" s="1653"/>
      <c r="Q182" s="1653"/>
      <c r="R182" s="1655"/>
      <c r="S182" s="1655"/>
      <c r="T182" s="1662"/>
      <c r="U182" s="1659"/>
    </row>
    <row r="183" spans="1:21">
      <c r="A183" s="1685"/>
      <c r="B183" s="1707"/>
      <c r="C183" s="1708"/>
      <c r="D183" s="1708"/>
      <c r="E183" s="1708"/>
      <c r="F183" s="1708"/>
      <c r="G183" s="1708"/>
      <c r="H183" s="1708"/>
      <c r="I183" s="1709"/>
      <c r="J183" s="1664"/>
      <c r="K183" s="1664"/>
      <c r="L183" s="1660"/>
      <c r="M183" s="1664"/>
      <c r="N183" s="1655"/>
      <c r="O183" s="1651"/>
      <c r="P183" s="1653"/>
      <c r="Q183" s="1653"/>
      <c r="R183" s="1655"/>
      <c r="S183" s="1655"/>
      <c r="T183" s="1662"/>
      <c r="U183" s="1659"/>
    </row>
    <row r="184" spans="1:21" ht="18" customHeight="1" thickBot="1">
      <c r="A184" s="1686"/>
      <c r="B184" s="1710"/>
      <c r="C184" s="1711"/>
      <c r="D184" s="1711"/>
      <c r="E184" s="1711"/>
      <c r="F184" s="1711"/>
      <c r="G184" s="1711"/>
      <c r="H184" s="1711"/>
      <c r="I184" s="1712"/>
      <c r="J184" s="1665"/>
      <c r="K184" s="1665"/>
      <c r="L184" s="1661"/>
      <c r="M184" s="1665"/>
      <c r="N184" s="1666"/>
      <c r="O184" s="1667"/>
      <c r="P184" s="1668"/>
      <c r="Q184" s="1668"/>
      <c r="R184" s="1666"/>
      <c r="S184" s="1666"/>
      <c r="T184" s="1669"/>
      <c r="U184" s="1670"/>
    </row>
    <row r="185" spans="1:21" ht="14.25" hidden="1" thickTop="1" thickBot="1">
      <c r="A185" s="793"/>
      <c r="B185" s="794"/>
      <c r="C185" s="794"/>
      <c r="D185" s="794"/>
      <c r="E185" s="794"/>
      <c r="F185" s="794"/>
      <c r="G185" s="794"/>
      <c r="H185" s="794"/>
      <c r="I185" s="794"/>
      <c r="J185" s="65"/>
      <c r="K185" s="65"/>
      <c r="L185" s="64"/>
      <c r="M185" s="65"/>
      <c r="N185" s="195"/>
      <c r="O185" s="65"/>
      <c r="P185" s="195"/>
      <c r="Q185" s="195"/>
      <c r="R185" s="195"/>
      <c r="S185" s="195"/>
      <c r="T185" s="198"/>
      <c r="U185" s="196"/>
    </row>
    <row r="186" spans="1:21" ht="13.5" hidden="1" thickTop="1">
      <c r="A186" s="1683">
        <v>14</v>
      </c>
      <c r="B186" s="1687" t="s">
        <v>106</v>
      </c>
      <c r="C186" s="1688"/>
      <c r="D186" s="1688">
        <v>0</v>
      </c>
      <c r="E186" s="1688"/>
      <c r="F186" s="1691">
        <v>0</v>
      </c>
      <c r="G186" s="1691"/>
      <c r="H186" s="1691"/>
      <c r="I186" s="1691"/>
      <c r="J186" s="1692">
        <v>2012</v>
      </c>
      <c r="K186" s="1692">
        <v>2015</v>
      </c>
      <c r="L186" s="1694">
        <f>SUM(N186,L192)</f>
        <v>0</v>
      </c>
      <c r="M186" s="1696" t="s">
        <v>125</v>
      </c>
      <c r="N186" s="1672">
        <f>IF(SUM(N190:N197)=T186,SUM(N190:N197),"wielbłąd")</f>
        <v>0</v>
      </c>
      <c r="O186" s="1671" t="s">
        <v>117</v>
      </c>
      <c r="P186" s="1672">
        <f t="shared" ref="P186" si="18">SUM(P190:P197)</f>
        <v>0</v>
      </c>
      <c r="Q186" s="1672">
        <f t="shared" ref="Q186:S186" si="19">SUM(Q190:Q197)</f>
        <v>0</v>
      </c>
      <c r="R186" s="1672">
        <f t="shared" si="19"/>
        <v>0</v>
      </c>
      <c r="S186" s="1672">
        <f t="shared" si="19"/>
        <v>0</v>
      </c>
      <c r="T186" s="1673">
        <f>SUM(U190:U197)</f>
        <v>0</v>
      </c>
      <c r="U186" s="1674"/>
    </row>
    <row r="187" spans="1:21" hidden="1">
      <c r="A187" s="1684"/>
      <c r="B187" s="1689"/>
      <c r="C187" s="1690"/>
      <c r="D187" s="1690"/>
      <c r="E187" s="1690"/>
      <c r="F187" s="1681"/>
      <c r="G187" s="1681"/>
      <c r="H187" s="1681"/>
      <c r="I187" s="1681"/>
      <c r="J187" s="1664"/>
      <c r="K187" s="1664"/>
      <c r="L187" s="1695"/>
      <c r="M187" s="1697"/>
      <c r="N187" s="1660"/>
      <c r="O187" s="1651"/>
      <c r="P187" s="1660"/>
      <c r="Q187" s="1660"/>
      <c r="R187" s="1660"/>
      <c r="S187" s="1660"/>
      <c r="T187" s="1675"/>
      <c r="U187" s="1676"/>
    </row>
    <row r="188" spans="1:21" hidden="1">
      <c r="A188" s="1684"/>
      <c r="B188" s="1679" t="s">
        <v>112</v>
      </c>
      <c r="C188" s="1651"/>
      <c r="D188" s="1651">
        <v>0</v>
      </c>
      <c r="E188" s="1651"/>
      <c r="F188" s="1681">
        <v>0</v>
      </c>
      <c r="G188" s="1681"/>
      <c r="H188" s="1681"/>
      <c r="I188" s="1681"/>
      <c r="J188" s="1664"/>
      <c r="K188" s="1664"/>
      <c r="L188" s="1695"/>
      <c r="M188" s="1697"/>
      <c r="N188" s="1660"/>
      <c r="O188" s="1651"/>
      <c r="P188" s="1660"/>
      <c r="Q188" s="1660"/>
      <c r="R188" s="1660"/>
      <c r="S188" s="1660"/>
      <c r="T188" s="1675"/>
      <c r="U188" s="1676"/>
    </row>
    <row r="189" spans="1:21" hidden="1">
      <c r="A189" s="1684"/>
      <c r="B189" s="1680"/>
      <c r="C189" s="1663"/>
      <c r="D189" s="1663"/>
      <c r="E189" s="1663"/>
      <c r="F189" s="1682"/>
      <c r="G189" s="1682"/>
      <c r="H189" s="1682"/>
      <c r="I189" s="1682"/>
      <c r="J189" s="1664"/>
      <c r="K189" s="1664"/>
      <c r="L189" s="1695"/>
      <c r="M189" s="1697"/>
      <c r="N189" s="1660"/>
      <c r="O189" s="1651"/>
      <c r="P189" s="1660"/>
      <c r="Q189" s="1660"/>
      <c r="R189" s="1660"/>
      <c r="S189" s="1660"/>
      <c r="T189" s="1677"/>
      <c r="U189" s="1678"/>
    </row>
    <row r="190" spans="1:21" hidden="1">
      <c r="A190" s="1685"/>
      <c r="B190" s="1685">
        <v>0</v>
      </c>
      <c r="C190" s="1748"/>
      <c r="D190" s="1748"/>
      <c r="E190" s="1748"/>
      <c r="F190" s="1748"/>
      <c r="G190" s="1748"/>
      <c r="H190" s="1748"/>
      <c r="I190" s="1749"/>
      <c r="J190" s="1693"/>
      <c r="K190" s="1664"/>
      <c r="L190" s="1695"/>
      <c r="M190" s="1651" t="s">
        <v>128</v>
      </c>
      <c r="N190" s="1655">
        <f>SUM(P190:S193)</f>
        <v>0</v>
      </c>
      <c r="O190" s="1651" t="s">
        <v>117</v>
      </c>
      <c r="P190" s="1652">
        <v>0</v>
      </c>
      <c r="Q190" s="1652">
        <v>0</v>
      </c>
      <c r="R190" s="1655">
        <v>0</v>
      </c>
      <c r="S190" s="1655">
        <v>0</v>
      </c>
      <c r="T190" s="1656">
        <f>$P$7</f>
        <v>2013</v>
      </c>
      <c r="U190" s="1658">
        <f>P186</f>
        <v>0</v>
      </c>
    </row>
    <row r="191" spans="1:21" hidden="1">
      <c r="A191" s="1685"/>
      <c r="B191" s="1750"/>
      <c r="C191" s="1751"/>
      <c r="D191" s="1751"/>
      <c r="E191" s="1751"/>
      <c r="F191" s="1751"/>
      <c r="G191" s="1751"/>
      <c r="H191" s="1751"/>
      <c r="I191" s="1752"/>
      <c r="J191" s="1693"/>
      <c r="K191" s="1664"/>
      <c r="L191" s="1695"/>
      <c r="M191" s="1651"/>
      <c r="N191" s="1655"/>
      <c r="O191" s="1651"/>
      <c r="P191" s="1653"/>
      <c r="Q191" s="1653"/>
      <c r="R191" s="1655"/>
      <c r="S191" s="1655"/>
      <c r="T191" s="1657"/>
      <c r="U191" s="1659"/>
    </row>
    <row r="192" spans="1:21" hidden="1">
      <c r="A192" s="1685"/>
      <c r="B192" s="1750"/>
      <c r="C192" s="1751"/>
      <c r="D192" s="1751"/>
      <c r="E192" s="1751"/>
      <c r="F192" s="1751"/>
      <c r="G192" s="1751"/>
      <c r="H192" s="1751"/>
      <c r="I192" s="1752"/>
      <c r="J192" s="1693"/>
      <c r="K192" s="1664"/>
      <c r="L192" s="1660">
        <v>0</v>
      </c>
      <c r="M192" s="1651"/>
      <c r="N192" s="1655"/>
      <c r="O192" s="1651"/>
      <c r="P192" s="1653"/>
      <c r="Q192" s="1653"/>
      <c r="R192" s="1655"/>
      <c r="S192" s="1655"/>
      <c r="T192" s="1662">
        <f>$Q$7</f>
        <v>2014</v>
      </c>
      <c r="U192" s="1659">
        <f>Q186</f>
        <v>0</v>
      </c>
    </row>
    <row r="193" spans="1:21" hidden="1">
      <c r="A193" s="1685"/>
      <c r="B193" s="1753"/>
      <c r="C193" s="1754"/>
      <c r="D193" s="1754"/>
      <c r="E193" s="1754"/>
      <c r="F193" s="1754"/>
      <c r="G193" s="1754"/>
      <c r="H193" s="1754"/>
      <c r="I193" s="1755"/>
      <c r="J193" s="1693"/>
      <c r="K193" s="1664"/>
      <c r="L193" s="1660"/>
      <c r="M193" s="1651"/>
      <c r="N193" s="1652"/>
      <c r="O193" s="1651"/>
      <c r="P193" s="1654"/>
      <c r="Q193" s="1654"/>
      <c r="R193" s="1655"/>
      <c r="S193" s="1655"/>
      <c r="T193" s="1662"/>
      <c r="U193" s="1659"/>
    </row>
    <row r="194" spans="1:21" hidden="1">
      <c r="A194" s="1685"/>
      <c r="B194" s="1707">
        <v>0</v>
      </c>
      <c r="C194" s="1708"/>
      <c r="D194" s="1708"/>
      <c r="E194" s="1708"/>
      <c r="F194" s="1708"/>
      <c r="G194" s="1708"/>
      <c r="H194" s="1708"/>
      <c r="I194" s="1709"/>
      <c r="J194" s="1664"/>
      <c r="K194" s="1664"/>
      <c r="L194" s="1660"/>
      <c r="M194" s="1663" t="s">
        <v>129</v>
      </c>
      <c r="N194" s="1655">
        <f>SUM(P194:S197)</f>
        <v>0</v>
      </c>
      <c r="O194" s="1651" t="s">
        <v>117</v>
      </c>
      <c r="P194" s="1652">
        <v>0</v>
      </c>
      <c r="Q194" s="1652">
        <v>0</v>
      </c>
      <c r="R194" s="1655">
        <v>0</v>
      </c>
      <c r="S194" s="1655">
        <v>0</v>
      </c>
      <c r="T194" s="1662"/>
      <c r="U194" s="1659"/>
    </row>
    <row r="195" spans="1:21" hidden="1">
      <c r="A195" s="1685"/>
      <c r="B195" s="1707"/>
      <c r="C195" s="1708"/>
      <c r="D195" s="1708"/>
      <c r="E195" s="1708"/>
      <c r="F195" s="1708"/>
      <c r="G195" s="1708"/>
      <c r="H195" s="1708"/>
      <c r="I195" s="1709"/>
      <c r="J195" s="1664"/>
      <c r="K195" s="1664"/>
      <c r="L195" s="1660"/>
      <c r="M195" s="1664"/>
      <c r="N195" s="1655"/>
      <c r="O195" s="1651"/>
      <c r="P195" s="1653"/>
      <c r="Q195" s="1653"/>
      <c r="R195" s="1655"/>
      <c r="S195" s="1655"/>
      <c r="T195" s="1662"/>
      <c r="U195" s="1659"/>
    </row>
    <row r="196" spans="1:21" hidden="1">
      <c r="A196" s="1685"/>
      <c r="B196" s="1707"/>
      <c r="C196" s="1708"/>
      <c r="D196" s="1708"/>
      <c r="E196" s="1708"/>
      <c r="F196" s="1708"/>
      <c r="G196" s="1708"/>
      <c r="H196" s="1708"/>
      <c r="I196" s="1709"/>
      <c r="J196" s="1664"/>
      <c r="K196" s="1664"/>
      <c r="L196" s="1660"/>
      <c r="M196" s="1664"/>
      <c r="N196" s="1655"/>
      <c r="O196" s="1651"/>
      <c r="P196" s="1653"/>
      <c r="Q196" s="1653"/>
      <c r="R196" s="1655"/>
      <c r="S196" s="1655"/>
      <c r="T196" s="1662"/>
      <c r="U196" s="1659"/>
    </row>
    <row r="197" spans="1:21" ht="13.5" hidden="1" thickBot="1">
      <c r="A197" s="1686"/>
      <c r="B197" s="1710"/>
      <c r="C197" s="1711"/>
      <c r="D197" s="1711"/>
      <c r="E197" s="1711"/>
      <c r="F197" s="1711"/>
      <c r="G197" s="1711"/>
      <c r="H197" s="1711"/>
      <c r="I197" s="1712"/>
      <c r="J197" s="1665"/>
      <c r="K197" s="1665"/>
      <c r="L197" s="1661"/>
      <c r="M197" s="1665"/>
      <c r="N197" s="1666"/>
      <c r="O197" s="1667"/>
      <c r="P197" s="1668"/>
      <c r="Q197" s="1668"/>
      <c r="R197" s="1666"/>
      <c r="S197" s="1666"/>
      <c r="T197" s="1669"/>
      <c r="U197" s="1670"/>
    </row>
    <row r="198" spans="1:21" ht="14.25" thickTop="1" thickBot="1">
      <c r="A198" s="793"/>
      <c r="B198" s="794"/>
      <c r="C198" s="794"/>
      <c r="D198" s="794"/>
      <c r="E198" s="794"/>
      <c r="F198" s="794"/>
      <c r="G198" s="794"/>
      <c r="H198" s="794"/>
      <c r="I198" s="794"/>
      <c r="J198" s="65"/>
      <c r="K198" s="65"/>
      <c r="L198" s="64"/>
      <c r="M198" s="65"/>
      <c r="N198" s="195"/>
      <c r="O198" s="65"/>
      <c r="P198" s="195"/>
      <c r="Q198" s="195"/>
      <c r="R198" s="195"/>
      <c r="S198" s="195"/>
      <c r="T198" s="198"/>
      <c r="U198" s="196"/>
    </row>
    <row r="199" spans="1:21" ht="13.5" thickTop="1">
      <c r="A199" s="1683">
        <v>13</v>
      </c>
      <c r="B199" s="1687" t="s">
        <v>106</v>
      </c>
      <c r="C199" s="1688"/>
      <c r="D199" s="1688">
        <v>926</v>
      </c>
      <c r="E199" s="1688"/>
      <c r="F199" s="1691" t="s">
        <v>377</v>
      </c>
      <c r="G199" s="1691"/>
      <c r="H199" s="1691"/>
      <c r="I199" s="1691"/>
      <c r="J199" s="1692">
        <v>2009</v>
      </c>
      <c r="K199" s="1692">
        <v>2014</v>
      </c>
      <c r="L199" s="1694">
        <v>15206753</v>
      </c>
      <c r="M199" s="1696" t="s">
        <v>125</v>
      </c>
      <c r="N199" s="1672">
        <f>IF(SUM(N203:N210)=T199,SUM(N203:N210),"wielbłąd")</f>
        <v>15000000</v>
      </c>
      <c r="O199" s="1671" t="s">
        <v>117</v>
      </c>
      <c r="P199" s="1672">
        <f t="shared" ref="P199" si="20">SUM(P203:P210)</f>
        <v>9682000</v>
      </c>
      <c r="Q199" s="1672">
        <f t="shared" ref="Q199:S199" si="21">SUM(Q203:Q210)</f>
        <v>5318000</v>
      </c>
      <c r="R199" s="1672">
        <f t="shared" si="21"/>
        <v>0</v>
      </c>
      <c r="S199" s="1672">
        <f t="shared" si="21"/>
        <v>0</v>
      </c>
      <c r="T199" s="1673">
        <f>SUM(U203:U210)</f>
        <v>15000000</v>
      </c>
      <c r="U199" s="1674"/>
    </row>
    <row r="200" spans="1:21">
      <c r="A200" s="1684"/>
      <c r="B200" s="1689"/>
      <c r="C200" s="1690"/>
      <c r="D200" s="1690"/>
      <c r="E200" s="1690"/>
      <c r="F200" s="1681"/>
      <c r="G200" s="1681"/>
      <c r="H200" s="1681"/>
      <c r="I200" s="1681"/>
      <c r="J200" s="1664"/>
      <c r="K200" s="1664"/>
      <c r="L200" s="1695"/>
      <c r="M200" s="1697"/>
      <c r="N200" s="1660"/>
      <c r="O200" s="1651"/>
      <c r="P200" s="1660"/>
      <c r="Q200" s="1660"/>
      <c r="R200" s="1660"/>
      <c r="S200" s="1660"/>
      <c r="T200" s="1675"/>
      <c r="U200" s="1676"/>
    </row>
    <row r="201" spans="1:21">
      <c r="A201" s="1684"/>
      <c r="B201" s="1679" t="s">
        <v>112</v>
      </c>
      <c r="C201" s="1651"/>
      <c r="D201" s="1651">
        <v>92695</v>
      </c>
      <c r="E201" s="1651"/>
      <c r="F201" s="1681" t="s">
        <v>139</v>
      </c>
      <c r="G201" s="1681"/>
      <c r="H201" s="1681"/>
      <c r="I201" s="1681"/>
      <c r="J201" s="1664"/>
      <c r="K201" s="1664"/>
      <c r="L201" s="1695"/>
      <c r="M201" s="1697"/>
      <c r="N201" s="1660"/>
      <c r="O201" s="1651"/>
      <c r="P201" s="1660"/>
      <c r="Q201" s="1660"/>
      <c r="R201" s="1660"/>
      <c r="S201" s="1660"/>
      <c r="T201" s="1675"/>
      <c r="U201" s="1676"/>
    </row>
    <row r="202" spans="1:21">
      <c r="A202" s="1684"/>
      <c r="B202" s="1680"/>
      <c r="C202" s="1663"/>
      <c r="D202" s="1663"/>
      <c r="E202" s="1663"/>
      <c r="F202" s="1682"/>
      <c r="G202" s="1682"/>
      <c r="H202" s="1682"/>
      <c r="I202" s="1682"/>
      <c r="J202" s="1664"/>
      <c r="K202" s="1664"/>
      <c r="L202" s="1695"/>
      <c r="M202" s="1697"/>
      <c r="N202" s="1660"/>
      <c r="O202" s="1651"/>
      <c r="P202" s="1660"/>
      <c r="Q202" s="1660"/>
      <c r="R202" s="1660"/>
      <c r="S202" s="1660"/>
      <c r="T202" s="1677"/>
      <c r="U202" s="1678"/>
    </row>
    <row r="203" spans="1:21" ht="20.25" customHeight="1">
      <c r="A203" s="1685"/>
      <c r="B203" s="1713" t="s">
        <v>430</v>
      </c>
      <c r="C203" s="1714"/>
      <c r="D203" s="1714"/>
      <c r="E203" s="1714"/>
      <c r="F203" s="1714"/>
      <c r="G203" s="1714"/>
      <c r="H203" s="1714"/>
      <c r="I203" s="1715"/>
      <c r="J203" s="1693"/>
      <c r="K203" s="1664"/>
      <c r="L203" s="1695"/>
      <c r="M203" s="1651" t="s">
        <v>444</v>
      </c>
      <c r="N203" s="1655">
        <f>SUM(P203:S206)</f>
        <v>10800000</v>
      </c>
      <c r="O203" s="1651" t="s">
        <v>117</v>
      </c>
      <c r="P203" s="1652">
        <v>9090000</v>
      </c>
      <c r="Q203" s="1652">
        <v>1710000</v>
      </c>
      <c r="R203" s="1655">
        <v>0</v>
      </c>
      <c r="S203" s="1655">
        <v>0</v>
      </c>
      <c r="T203" s="1656">
        <f>$P$7</f>
        <v>2013</v>
      </c>
      <c r="U203" s="1658">
        <f>P199</f>
        <v>9682000</v>
      </c>
    </row>
    <row r="204" spans="1:21" ht="18" customHeight="1">
      <c r="A204" s="1685"/>
      <c r="B204" s="1716"/>
      <c r="C204" s="1717"/>
      <c r="D204" s="1717"/>
      <c r="E204" s="1717"/>
      <c r="F204" s="1717"/>
      <c r="G204" s="1717"/>
      <c r="H204" s="1717"/>
      <c r="I204" s="1718"/>
      <c r="J204" s="1693"/>
      <c r="K204" s="1664"/>
      <c r="L204" s="1695"/>
      <c r="M204" s="1651"/>
      <c r="N204" s="1655"/>
      <c r="O204" s="1651"/>
      <c r="P204" s="1653"/>
      <c r="Q204" s="1653"/>
      <c r="R204" s="1655"/>
      <c r="S204" s="1655"/>
      <c r="T204" s="1657"/>
      <c r="U204" s="1659"/>
    </row>
    <row r="205" spans="1:21" ht="8.25" customHeight="1">
      <c r="A205" s="1685"/>
      <c r="B205" s="1716"/>
      <c r="C205" s="1717"/>
      <c r="D205" s="1717"/>
      <c r="E205" s="1717"/>
      <c r="F205" s="1717"/>
      <c r="G205" s="1717"/>
      <c r="H205" s="1717"/>
      <c r="I205" s="1718"/>
      <c r="J205" s="1693"/>
      <c r="K205" s="1664"/>
      <c r="L205" s="1660">
        <v>206753</v>
      </c>
      <c r="M205" s="1651"/>
      <c r="N205" s="1655"/>
      <c r="O205" s="1651"/>
      <c r="P205" s="1653"/>
      <c r="Q205" s="1653"/>
      <c r="R205" s="1655"/>
      <c r="S205" s="1655"/>
      <c r="T205" s="1662">
        <f>$Q$7</f>
        <v>2014</v>
      </c>
      <c r="U205" s="1659">
        <f>Q199</f>
        <v>5318000</v>
      </c>
    </row>
    <row r="206" spans="1:21" ht="16.5" customHeight="1">
      <c r="A206" s="1685"/>
      <c r="B206" s="1719"/>
      <c r="C206" s="1720"/>
      <c r="D206" s="1720"/>
      <c r="E206" s="1720"/>
      <c r="F206" s="1720"/>
      <c r="G206" s="1720"/>
      <c r="H206" s="1720"/>
      <c r="I206" s="1721"/>
      <c r="J206" s="1693"/>
      <c r="K206" s="1664"/>
      <c r="L206" s="1660"/>
      <c r="M206" s="1651"/>
      <c r="N206" s="1652"/>
      <c r="O206" s="1651"/>
      <c r="P206" s="1654"/>
      <c r="Q206" s="1654"/>
      <c r="R206" s="1655"/>
      <c r="S206" s="1655"/>
      <c r="T206" s="1662"/>
      <c r="U206" s="1659"/>
    </row>
    <row r="207" spans="1:21">
      <c r="A207" s="1685"/>
      <c r="B207" s="1707" t="s">
        <v>378</v>
      </c>
      <c r="C207" s="1708"/>
      <c r="D207" s="1708"/>
      <c r="E207" s="1708"/>
      <c r="F207" s="1708"/>
      <c r="G207" s="1708"/>
      <c r="H207" s="1708"/>
      <c r="I207" s="1709"/>
      <c r="J207" s="1664"/>
      <c r="K207" s="1664"/>
      <c r="L207" s="1660"/>
      <c r="M207" s="1663" t="s">
        <v>129</v>
      </c>
      <c r="N207" s="1655">
        <f>SUM(P207:S210)</f>
        <v>4200000</v>
      </c>
      <c r="O207" s="1651" t="s">
        <v>117</v>
      </c>
      <c r="P207" s="1652">
        <v>592000</v>
      </c>
      <c r="Q207" s="1652">
        <v>3608000</v>
      </c>
      <c r="R207" s="1655">
        <v>0</v>
      </c>
      <c r="S207" s="1655">
        <v>0</v>
      </c>
      <c r="T207" s="1662"/>
      <c r="U207" s="1659"/>
    </row>
    <row r="208" spans="1:21" ht="6.75" customHeight="1">
      <c r="A208" s="1685"/>
      <c r="B208" s="1707"/>
      <c r="C208" s="1708"/>
      <c r="D208" s="1708"/>
      <c r="E208" s="1708"/>
      <c r="F208" s="1708"/>
      <c r="G208" s="1708"/>
      <c r="H208" s="1708"/>
      <c r="I208" s="1709"/>
      <c r="J208" s="1664"/>
      <c r="K208" s="1664"/>
      <c r="L208" s="1660"/>
      <c r="M208" s="1664"/>
      <c r="N208" s="1655"/>
      <c r="O208" s="1651"/>
      <c r="P208" s="1653"/>
      <c r="Q208" s="1653"/>
      <c r="R208" s="1655"/>
      <c r="S208" s="1655"/>
      <c r="T208" s="1662"/>
      <c r="U208" s="1659"/>
    </row>
    <row r="209" spans="1:21">
      <c r="A209" s="1685"/>
      <c r="B209" s="1707"/>
      <c r="C209" s="1708"/>
      <c r="D209" s="1708"/>
      <c r="E209" s="1708"/>
      <c r="F209" s="1708"/>
      <c r="G209" s="1708"/>
      <c r="H209" s="1708"/>
      <c r="I209" s="1709"/>
      <c r="J209" s="1664"/>
      <c r="K209" s="1664"/>
      <c r="L209" s="1660"/>
      <c r="M209" s="1664"/>
      <c r="N209" s="1655"/>
      <c r="O209" s="1651"/>
      <c r="P209" s="1653"/>
      <c r="Q209" s="1653"/>
      <c r="R209" s="1655"/>
      <c r="S209" s="1655"/>
      <c r="T209" s="1662"/>
      <c r="U209" s="1659"/>
    </row>
    <row r="210" spans="1:21" ht="13.5" thickBot="1">
      <c r="A210" s="1686"/>
      <c r="B210" s="1710"/>
      <c r="C210" s="1711"/>
      <c r="D210" s="1711"/>
      <c r="E210" s="1711"/>
      <c r="F210" s="1711"/>
      <c r="G210" s="1711"/>
      <c r="H210" s="1711"/>
      <c r="I210" s="1712"/>
      <c r="J210" s="1665"/>
      <c r="K210" s="1665"/>
      <c r="L210" s="1661"/>
      <c r="M210" s="1665"/>
      <c r="N210" s="1666"/>
      <c r="O210" s="1667"/>
      <c r="P210" s="1668"/>
      <c r="Q210" s="1668"/>
      <c r="R210" s="1666"/>
      <c r="S210" s="1666"/>
      <c r="T210" s="1669"/>
      <c r="U210" s="1670"/>
    </row>
    <row r="211" spans="1:21" ht="14.25" thickTop="1" thickBot="1">
      <c r="A211" s="818"/>
      <c r="B211" s="819"/>
      <c r="C211" s="819"/>
      <c r="D211" s="819"/>
      <c r="E211" s="819"/>
      <c r="F211" s="819"/>
      <c r="G211" s="819"/>
      <c r="H211" s="819"/>
      <c r="I211" s="819"/>
      <c r="J211" s="65"/>
      <c r="K211" s="65"/>
      <c r="L211" s="64"/>
      <c r="M211" s="65"/>
      <c r="N211" s="195"/>
      <c r="O211" s="65"/>
      <c r="P211" s="195"/>
      <c r="Q211" s="195"/>
      <c r="R211" s="195"/>
      <c r="S211" s="195"/>
      <c r="T211" s="198"/>
      <c r="U211" s="196"/>
    </row>
    <row r="212" spans="1:21" ht="13.5" thickTop="1">
      <c r="A212" s="1683">
        <v>14</v>
      </c>
      <c r="B212" s="1687" t="s">
        <v>106</v>
      </c>
      <c r="C212" s="1688"/>
      <c r="D212" s="1688">
        <v>600</v>
      </c>
      <c r="E212" s="1688"/>
      <c r="F212" s="1691" t="s">
        <v>130</v>
      </c>
      <c r="G212" s="1691"/>
      <c r="H212" s="1691"/>
      <c r="I212" s="1691"/>
      <c r="J212" s="1692">
        <v>2011</v>
      </c>
      <c r="K212" s="1692">
        <v>2013</v>
      </c>
      <c r="L212" s="1694">
        <v>4347586</v>
      </c>
      <c r="M212" s="1696" t="s">
        <v>125</v>
      </c>
      <c r="N212" s="1672">
        <f>IF(SUM(N216:N223)=T212,SUM(N216:N223),"wielbłąd")</f>
        <v>4242200</v>
      </c>
      <c r="O212" s="1671" t="s">
        <v>117</v>
      </c>
      <c r="P212" s="1672">
        <f t="shared" ref="P212" si="22">SUM(P216:P223)</f>
        <v>4242200</v>
      </c>
      <c r="Q212" s="1672">
        <f t="shared" ref="Q212:S212" si="23">SUM(Q216:Q223)</f>
        <v>0</v>
      </c>
      <c r="R212" s="1672">
        <f t="shared" si="23"/>
        <v>0</v>
      </c>
      <c r="S212" s="1672">
        <f t="shared" si="23"/>
        <v>0</v>
      </c>
      <c r="T212" s="1673">
        <f>SUM(U216:U223)</f>
        <v>4242200</v>
      </c>
      <c r="U212" s="1674"/>
    </row>
    <row r="213" spans="1:21">
      <c r="A213" s="1684"/>
      <c r="B213" s="1689"/>
      <c r="C213" s="1690"/>
      <c r="D213" s="1690"/>
      <c r="E213" s="1690"/>
      <c r="F213" s="1681"/>
      <c r="G213" s="1681"/>
      <c r="H213" s="1681"/>
      <c r="I213" s="1681"/>
      <c r="J213" s="1664"/>
      <c r="K213" s="1664"/>
      <c r="L213" s="1695"/>
      <c r="M213" s="1697"/>
      <c r="N213" s="1660"/>
      <c r="O213" s="1651"/>
      <c r="P213" s="1660"/>
      <c r="Q213" s="1660"/>
      <c r="R213" s="1660"/>
      <c r="S213" s="1660"/>
      <c r="T213" s="1675"/>
      <c r="U213" s="1676"/>
    </row>
    <row r="214" spans="1:21">
      <c r="A214" s="1684"/>
      <c r="B214" s="1679" t="s">
        <v>112</v>
      </c>
      <c r="C214" s="1651"/>
      <c r="D214" s="1651">
        <v>60015</v>
      </c>
      <c r="E214" s="1651"/>
      <c r="F214" s="1681" t="s">
        <v>131</v>
      </c>
      <c r="G214" s="1681"/>
      <c r="H214" s="1681"/>
      <c r="I214" s="1681"/>
      <c r="J214" s="1664"/>
      <c r="K214" s="1664"/>
      <c r="L214" s="1695"/>
      <c r="M214" s="1697"/>
      <c r="N214" s="1660"/>
      <c r="O214" s="1651"/>
      <c r="P214" s="1660"/>
      <c r="Q214" s="1660"/>
      <c r="R214" s="1660"/>
      <c r="S214" s="1660"/>
      <c r="T214" s="1675"/>
      <c r="U214" s="1676"/>
    </row>
    <row r="215" spans="1:21" ht="17.25" customHeight="1">
      <c r="A215" s="1684"/>
      <c r="B215" s="1680"/>
      <c r="C215" s="1663"/>
      <c r="D215" s="1663"/>
      <c r="E215" s="1663"/>
      <c r="F215" s="1682"/>
      <c r="G215" s="1682"/>
      <c r="H215" s="1682"/>
      <c r="I215" s="1682"/>
      <c r="J215" s="1664"/>
      <c r="K215" s="1664"/>
      <c r="L215" s="1695"/>
      <c r="M215" s="1697"/>
      <c r="N215" s="1660"/>
      <c r="O215" s="1651"/>
      <c r="P215" s="1660"/>
      <c r="Q215" s="1660"/>
      <c r="R215" s="1660"/>
      <c r="S215" s="1660"/>
      <c r="T215" s="1677"/>
      <c r="U215" s="1678"/>
    </row>
    <row r="216" spans="1:21">
      <c r="A216" s="1685"/>
      <c r="B216" s="1698" t="s">
        <v>389</v>
      </c>
      <c r="C216" s="1699"/>
      <c r="D216" s="1699"/>
      <c r="E216" s="1699"/>
      <c r="F216" s="1699"/>
      <c r="G216" s="1699"/>
      <c r="H216" s="1699"/>
      <c r="I216" s="1700"/>
      <c r="J216" s="1693"/>
      <c r="K216" s="1664"/>
      <c r="L216" s="1695"/>
      <c r="M216" s="1651" t="s">
        <v>390</v>
      </c>
      <c r="N216" s="1655">
        <f>SUM(P216:S219)</f>
        <v>1272660</v>
      </c>
      <c r="O216" s="1651" t="s">
        <v>117</v>
      </c>
      <c r="P216" s="1652">
        <v>1272660</v>
      </c>
      <c r="Q216" s="1652">
        <v>0</v>
      </c>
      <c r="R216" s="1655">
        <v>0</v>
      </c>
      <c r="S216" s="1655">
        <v>0</v>
      </c>
      <c r="T216" s="1656">
        <f>$P$7</f>
        <v>2013</v>
      </c>
      <c r="U216" s="1658">
        <f>P212</f>
        <v>4242200</v>
      </c>
    </row>
    <row r="217" spans="1:21">
      <c r="A217" s="1685"/>
      <c r="B217" s="1701"/>
      <c r="C217" s="1702"/>
      <c r="D217" s="1702"/>
      <c r="E217" s="1702"/>
      <c r="F217" s="1702"/>
      <c r="G217" s="1702"/>
      <c r="H217" s="1702"/>
      <c r="I217" s="1703"/>
      <c r="J217" s="1693"/>
      <c r="K217" s="1664"/>
      <c r="L217" s="1695"/>
      <c r="M217" s="1651"/>
      <c r="N217" s="1655"/>
      <c r="O217" s="1651"/>
      <c r="P217" s="1653"/>
      <c r="Q217" s="1653"/>
      <c r="R217" s="1655"/>
      <c r="S217" s="1655"/>
      <c r="T217" s="1657"/>
      <c r="U217" s="1659"/>
    </row>
    <row r="218" spans="1:21">
      <c r="A218" s="1685"/>
      <c r="B218" s="1701"/>
      <c r="C218" s="1702"/>
      <c r="D218" s="1702"/>
      <c r="E218" s="1702"/>
      <c r="F218" s="1702"/>
      <c r="G218" s="1702"/>
      <c r="H218" s="1702"/>
      <c r="I218" s="1703"/>
      <c r="J218" s="1693"/>
      <c r="K218" s="1664"/>
      <c r="L218" s="1660">
        <v>105386</v>
      </c>
      <c r="M218" s="1651"/>
      <c r="N218" s="1655"/>
      <c r="O218" s="1651"/>
      <c r="P218" s="1653"/>
      <c r="Q218" s="1653"/>
      <c r="R218" s="1655"/>
      <c r="S218" s="1655"/>
      <c r="T218" s="1662">
        <f>$Q$7</f>
        <v>2014</v>
      </c>
      <c r="U218" s="1659">
        <f>Q212</f>
        <v>0</v>
      </c>
    </row>
    <row r="219" spans="1:21" ht="27" customHeight="1">
      <c r="A219" s="1685"/>
      <c r="B219" s="1704"/>
      <c r="C219" s="1705"/>
      <c r="D219" s="1705"/>
      <c r="E219" s="1705"/>
      <c r="F219" s="1705"/>
      <c r="G219" s="1705"/>
      <c r="H219" s="1705"/>
      <c r="I219" s="1706"/>
      <c r="J219" s="1693"/>
      <c r="K219" s="1664"/>
      <c r="L219" s="1660"/>
      <c r="M219" s="1651"/>
      <c r="N219" s="1652"/>
      <c r="O219" s="1651"/>
      <c r="P219" s="1654"/>
      <c r="Q219" s="1654"/>
      <c r="R219" s="1655"/>
      <c r="S219" s="1655"/>
      <c r="T219" s="1662"/>
      <c r="U219" s="1659"/>
    </row>
    <row r="220" spans="1:21">
      <c r="A220" s="1685"/>
      <c r="B220" s="1707" t="s">
        <v>421</v>
      </c>
      <c r="C220" s="1708"/>
      <c r="D220" s="1708"/>
      <c r="E220" s="1708"/>
      <c r="F220" s="1708"/>
      <c r="G220" s="1708"/>
      <c r="H220" s="1708"/>
      <c r="I220" s="1709"/>
      <c r="J220" s="1664"/>
      <c r="K220" s="1664"/>
      <c r="L220" s="1660"/>
      <c r="M220" s="1663" t="s">
        <v>129</v>
      </c>
      <c r="N220" s="1655">
        <f>SUM(P220:S223)</f>
        <v>2969540</v>
      </c>
      <c r="O220" s="1651" t="s">
        <v>117</v>
      </c>
      <c r="P220" s="1652">
        <v>2969540</v>
      </c>
      <c r="Q220" s="1652">
        <v>0</v>
      </c>
      <c r="R220" s="1655">
        <v>0</v>
      </c>
      <c r="S220" s="1655">
        <v>0</v>
      </c>
      <c r="T220" s="1662"/>
      <c r="U220" s="1659"/>
    </row>
    <row r="221" spans="1:21">
      <c r="A221" s="1685"/>
      <c r="B221" s="1707"/>
      <c r="C221" s="1708"/>
      <c r="D221" s="1708"/>
      <c r="E221" s="1708"/>
      <c r="F221" s="1708"/>
      <c r="G221" s="1708"/>
      <c r="H221" s="1708"/>
      <c r="I221" s="1709"/>
      <c r="J221" s="1664"/>
      <c r="K221" s="1664"/>
      <c r="L221" s="1660"/>
      <c r="M221" s="1664"/>
      <c r="N221" s="1655"/>
      <c r="O221" s="1651"/>
      <c r="P221" s="1653"/>
      <c r="Q221" s="1653"/>
      <c r="R221" s="1655"/>
      <c r="S221" s="1655"/>
      <c r="T221" s="1662"/>
      <c r="U221" s="1659"/>
    </row>
    <row r="222" spans="1:21">
      <c r="A222" s="1685"/>
      <c r="B222" s="1707"/>
      <c r="C222" s="1708"/>
      <c r="D222" s="1708"/>
      <c r="E222" s="1708"/>
      <c r="F222" s="1708"/>
      <c r="G222" s="1708"/>
      <c r="H222" s="1708"/>
      <c r="I222" s="1709"/>
      <c r="J222" s="1664"/>
      <c r="K222" s="1664"/>
      <c r="L222" s="1660"/>
      <c r="M222" s="1664"/>
      <c r="N222" s="1655"/>
      <c r="O222" s="1651"/>
      <c r="P222" s="1653"/>
      <c r="Q222" s="1653"/>
      <c r="R222" s="1655"/>
      <c r="S222" s="1655"/>
      <c r="T222" s="1662"/>
      <c r="U222" s="1659"/>
    </row>
    <row r="223" spans="1:21" ht="13.5" thickBot="1">
      <c r="A223" s="1686"/>
      <c r="B223" s="1710"/>
      <c r="C223" s="1711"/>
      <c r="D223" s="1711"/>
      <c r="E223" s="1711"/>
      <c r="F223" s="1711"/>
      <c r="G223" s="1711"/>
      <c r="H223" s="1711"/>
      <c r="I223" s="1712"/>
      <c r="J223" s="1665"/>
      <c r="K223" s="1665"/>
      <c r="L223" s="1661"/>
      <c r="M223" s="1665"/>
      <c r="N223" s="1666"/>
      <c r="O223" s="1667"/>
      <c r="P223" s="1668"/>
      <c r="Q223" s="1668"/>
      <c r="R223" s="1666"/>
      <c r="S223" s="1666"/>
      <c r="T223" s="1669"/>
      <c r="U223" s="1670"/>
    </row>
    <row r="224" spans="1:21" ht="14.25" thickTop="1" thickBot="1">
      <c r="A224" s="842"/>
      <c r="B224" s="843"/>
      <c r="C224" s="843"/>
      <c r="D224" s="843"/>
      <c r="E224" s="843"/>
      <c r="F224" s="843"/>
      <c r="G224" s="843"/>
      <c r="H224" s="843"/>
      <c r="I224" s="843"/>
      <c r="J224" s="65"/>
      <c r="K224" s="65"/>
      <c r="L224" s="64"/>
      <c r="M224" s="65"/>
      <c r="N224" s="195"/>
      <c r="O224" s="65"/>
      <c r="P224" s="195"/>
      <c r="Q224" s="195"/>
      <c r="R224" s="195"/>
      <c r="S224" s="195"/>
      <c r="T224" s="198"/>
      <c r="U224" s="196"/>
    </row>
    <row r="225" spans="1:21" ht="13.5" thickTop="1">
      <c r="A225" s="1683">
        <v>15</v>
      </c>
      <c r="B225" s="1687" t="s">
        <v>106</v>
      </c>
      <c r="C225" s="1688"/>
      <c r="D225" s="1688">
        <v>853</v>
      </c>
      <c r="E225" s="1688"/>
      <c r="F225" s="1691" t="s">
        <v>418</v>
      </c>
      <c r="G225" s="1691"/>
      <c r="H225" s="1691"/>
      <c r="I225" s="1691"/>
      <c r="J225" s="1692">
        <v>2012</v>
      </c>
      <c r="K225" s="1692">
        <v>2014</v>
      </c>
      <c r="L225" s="1694">
        <v>5500000</v>
      </c>
      <c r="M225" s="1696" t="s">
        <v>125</v>
      </c>
      <c r="N225" s="1672">
        <f>IF(SUM(N229:N236)=T225,SUM(N229:N236),"wielbłąd")</f>
        <v>5401230</v>
      </c>
      <c r="O225" s="1671" t="s">
        <v>117</v>
      </c>
      <c r="P225" s="1672">
        <f t="shared" ref="P225" si="24">SUM(P229:P236)</f>
        <v>0</v>
      </c>
      <c r="Q225" s="1672">
        <f t="shared" ref="Q225:S225" si="25">SUM(Q229:Q236)</f>
        <v>5401230</v>
      </c>
      <c r="R225" s="1672">
        <f t="shared" si="25"/>
        <v>0</v>
      </c>
      <c r="S225" s="1672">
        <f t="shared" si="25"/>
        <v>0</v>
      </c>
      <c r="T225" s="1673">
        <f>SUM(U229:U236)</f>
        <v>5401230</v>
      </c>
      <c r="U225" s="1674"/>
    </row>
    <row r="226" spans="1:21">
      <c r="A226" s="1684"/>
      <c r="B226" s="1689"/>
      <c r="C226" s="1690"/>
      <c r="D226" s="1690"/>
      <c r="E226" s="1690"/>
      <c r="F226" s="1681"/>
      <c r="G226" s="1681"/>
      <c r="H226" s="1681"/>
      <c r="I226" s="1681"/>
      <c r="J226" s="1664"/>
      <c r="K226" s="1664"/>
      <c r="L226" s="1695"/>
      <c r="M226" s="1697"/>
      <c r="N226" s="1660"/>
      <c r="O226" s="1651"/>
      <c r="P226" s="1660"/>
      <c r="Q226" s="1660"/>
      <c r="R226" s="1660"/>
      <c r="S226" s="1660"/>
      <c r="T226" s="1675"/>
      <c r="U226" s="1676"/>
    </row>
    <row r="227" spans="1:21">
      <c r="A227" s="1684"/>
      <c r="B227" s="1679" t="s">
        <v>112</v>
      </c>
      <c r="C227" s="1651"/>
      <c r="D227" s="1651">
        <v>85395</v>
      </c>
      <c r="E227" s="1651"/>
      <c r="F227" s="1681" t="s">
        <v>139</v>
      </c>
      <c r="G227" s="1681"/>
      <c r="H227" s="1681"/>
      <c r="I227" s="1681"/>
      <c r="J227" s="1664"/>
      <c r="K227" s="1664"/>
      <c r="L227" s="1695"/>
      <c r="M227" s="1697"/>
      <c r="N227" s="1660"/>
      <c r="O227" s="1651"/>
      <c r="P227" s="1660"/>
      <c r="Q227" s="1660"/>
      <c r="R227" s="1660"/>
      <c r="S227" s="1660"/>
      <c r="T227" s="1675"/>
      <c r="U227" s="1676"/>
    </row>
    <row r="228" spans="1:21">
      <c r="A228" s="1684"/>
      <c r="B228" s="1680"/>
      <c r="C228" s="1663"/>
      <c r="D228" s="1663"/>
      <c r="E228" s="1663"/>
      <c r="F228" s="1682"/>
      <c r="G228" s="1682"/>
      <c r="H228" s="1682"/>
      <c r="I228" s="1682"/>
      <c r="J228" s="1664"/>
      <c r="K228" s="1664"/>
      <c r="L228" s="1695"/>
      <c r="M228" s="1697"/>
      <c r="N228" s="1660"/>
      <c r="O228" s="1651"/>
      <c r="P228" s="1660"/>
      <c r="Q228" s="1660"/>
      <c r="R228" s="1660"/>
      <c r="S228" s="1660"/>
      <c r="T228" s="1677"/>
      <c r="U228" s="1678"/>
    </row>
    <row r="229" spans="1:21">
      <c r="A229" s="1685"/>
      <c r="B229" s="1698" t="s">
        <v>442</v>
      </c>
      <c r="C229" s="1699"/>
      <c r="D229" s="1699"/>
      <c r="E229" s="1699"/>
      <c r="F229" s="1699"/>
      <c r="G229" s="1699"/>
      <c r="H229" s="1699"/>
      <c r="I229" s="1700"/>
      <c r="J229" s="1693"/>
      <c r="K229" s="1664"/>
      <c r="L229" s="1695"/>
      <c r="M229" s="1651" t="s">
        <v>443</v>
      </c>
      <c r="N229" s="1655">
        <f>SUM(P229:S232)</f>
        <v>0</v>
      </c>
      <c r="O229" s="1651" t="s">
        <v>117</v>
      </c>
      <c r="P229" s="1652">
        <v>0</v>
      </c>
      <c r="Q229" s="1652">
        <v>0</v>
      </c>
      <c r="R229" s="1655">
        <v>0</v>
      </c>
      <c r="S229" s="1655">
        <v>0</v>
      </c>
      <c r="T229" s="1656">
        <f>$P$7</f>
        <v>2013</v>
      </c>
      <c r="U229" s="1658">
        <f>P225</f>
        <v>0</v>
      </c>
    </row>
    <row r="230" spans="1:21">
      <c r="A230" s="1685"/>
      <c r="B230" s="1701"/>
      <c r="C230" s="1702"/>
      <c r="D230" s="1702"/>
      <c r="E230" s="1702"/>
      <c r="F230" s="1702"/>
      <c r="G230" s="1702"/>
      <c r="H230" s="1702"/>
      <c r="I230" s="1703"/>
      <c r="J230" s="1693"/>
      <c r="K230" s="1664"/>
      <c r="L230" s="1695"/>
      <c r="M230" s="1651"/>
      <c r="N230" s="1655"/>
      <c r="O230" s="1651"/>
      <c r="P230" s="1653"/>
      <c r="Q230" s="1653"/>
      <c r="R230" s="1655"/>
      <c r="S230" s="1655"/>
      <c r="T230" s="1657"/>
      <c r="U230" s="1659"/>
    </row>
    <row r="231" spans="1:21" ht="12" customHeight="1">
      <c r="A231" s="1685"/>
      <c r="B231" s="1701"/>
      <c r="C231" s="1702"/>
      <c r="D231" s="1702"/>
      <c r="E231" s="1702"/>
      <c r="F231" s="1702"/>
      <c r="G231" s="1702"/>
      <c r="H231" s="1702"/>
      <c r="I231" s="1703"/>
      <c r="J231" s="1693"/>
      <c r="K231" s="1664"/>
      <c r="L231" s="1660">
        <v>98770</v>
      </c>
      <c r="M231" s="1651"/>
      <c r="N231" s="1655"/>
      <c r="O231" s="1651"/>
      <c r="P231" s="1653"/>
      <c r="Q231" s="1653"/>
      <c r="R231" s="1655"/>
      <c r="S231" s="1655"/>
      <c r="T231" s="1662">
        <f>$Q$7</f>
        <v>2014</v>
      </c>
      <c r="U231" s="1659">
        <f>Q225</f>
        <v>5401230</v>
      </c>
    </row>
    <row r="232" spans="1:21" ht="3.75" customHeight="1">
      <c r="A232" s="1685"/>
      <c r="B232" s="1704"/>
      <c r="C232" s="1705"/>
      <c r="D232" s="1705"/>
      <c r="E232" s="1705"/>
      <c r="F232" s="1705"/>
      <c r="G232" s="1705"/>
      <c r="H232" s="1705"/>
      <c r="I232" s="1706"/>
      <c r="J232" s="1693"/>
      <c r="K232" s="1664"/>
      <c r="L232" s="1660"/>
      <c r="M232" s="1651"/>
      <c r="N232" s="1652"/>
      <c r="O232" s="1651"/>
      <c r="P232" s="1654"/>
      <c r="Q232" s="1654"/>
      <c r="R232" s="1655"/>
      <c r="S232" s="1655"/>
      <c r="T232" s="1662"/>
      <c r="U232" s="1659"/>
    </row>
    <row r="233" spans="1:21" ht="4.5" customHeight="1">
      <c r="A233" s="1685"/>
      <c r="B233" s="1707" t="s">
        <v>378</v>
      </c>
      <c r="C233" s="1708"/>
      <c r="D233" s="1708"/>
      <c r="E233" s="1708"/>
      <c r="F233" s="1708"/>
      <c r="G233" s="1708"/>
      <c r="H233" s="1708"/>
      <c r="I233" s="1709"/>
      <c r="J233" s="1664"/>
      <c r="K233" s="1664"/>
      <c r="L233" s="1660"/>
      <c r="M233" s="1663" t="s">
        <v>129</v>
      </c>
      <c r="N233" s="1655">
        <f>SUM(P233:S236)</f>
        <v>5401230</v>
      </c>
      <c r="O233" s="1651" t="s">
        <v>117</v>
      </c>
      <c r="P233" s="1652">
        <v>0</v>
      </c>
      <c r="Q233" s="1652">
        <v>5401230</v>
      </c>
      <c r="R233" s="1655">
        <v>0</v>
      </c>
      <c r="S233" s="1655">
        <v>0</v>
      </c>
      <c r="T233" s="1662"/>
      <c r="U233" s="1659"/>
    </row>
    <row r="234" spans="1:21">
      <c r="A234" s="1685"/>
      <c r="B234" s="1707"/>
      <c r="C234" s="1708"/>
      <c r="D234" s="1708"/>
      <c r="E234" s="1708"/>
      <c r="F234" s="1708"/>
      <c r="G234" s="1708"/>
      <c r="H234" s="1708"/>
      <c r="I234" s="1709"/>
      <c r="J234" s="1664"/>
      <c r="K234" s="1664"/>
      <c r="L234" s="1660"/>
      <c r="M234" s="1664"/>
      <c r="N234" s="1655"/>
      <c r="O234" s="1651"/>
      <c r="P234" s="1653"/>
      <c r="Q234" s="1653"/>
      <c r="R234" s="1655"/>
      <c r="S234" s="1655"/>
      <c r="T234" s="1662"/>
      <c r="U234" s="1659"/>
    </row>
    <row r="235" spans="1:21">
      <c r="A235" s="1685"/>
      <c r="B235" s="1707"/>
      <c r="C235" s="1708"/>
      <c r="D235" s="1708"/>
      <c r="E235" s="1708"/>
      <c r="F235" s="1708"/>
      <c r="G235" s="1708"/>
      <c r="H235" s="1708"/>
      <c r="I235" s="1709"/>
      <c r="J235" s="1664"/>
      <c r="K235" s="1664"/>
      <c r="L235" s="1660"/>
      <c r="M235" s="1664"/>
      <c r="N235" s="1655"/>
      <c r="O235" s="1651"/>
      <c r="P235" s="1653"/>
      <c r="Q235" s="1653"/>
      <c r="R235" s="1655"/>
      <c r="S235" s="1655"/>
      <c r="T235" s="1662"/>
      <c r="U235" s="1659"/>
    </row>
    <row r="236" spans="1:21" ht="13.5" thickBot="1">
      <c r="A236" s="1686"/>
      <c r="B236" s="1710"/>
      <c r="C236" s="1711"/>
      <c r="D236" s="1711"/>
      <c r="E236" s="1711"/>
      <c r="F236" s="1711"/>
      <c r="G236" s="1711"/>
      <c r="H236" s="1711"/>
      <c r="I236" s="1712"/>
      <c r="J236" s="1665"/>
      <c r="K236" s="1665"/>
      <c r="L236" s="1661"/>
      <c r="M236" s="1665"/>
      <c r="N236" s="1666"/>
      <c r="O236" s="1667"/>
      <c r="P236" s="1668"/>
      <c r="Q236" s="1668"/>
      <c r="R236" s="1666"/>
      <c r="S236" s="1666"/>
      <c r="T236" s="1669"/>
      <c r="U236" s="1670"/>
    </row>
    <row r="237" spans="1:21" ht="14.25" thickTop="1" thickBot="1">
      <c r="A237" s="1153"/>
      <c r="B237" s="1154"/>
      <c r="C237" s="1154"/>
      <c r="D237" s="1154"/>
      <c r="E237" s="1154"/>
      <c r="F237" s="1154"/>
      <c r="G237" s="1154"/>
      <c r="H237" s="1154"/>
      <c r="I237" s="1154"/>
      <c r="J237" s="65"/>
      <c r="K237" s="65"/>
      <c r="L237" s="64"/>
      <c r="M237" s="65"/>
      <c r="N237" s="195"/>
      <c r="O237" s="65"/>
      <c r="P237" s="195"/>
      <c r="Q237" s="195"/>
      <c r="R237" s="195"/>
      <c r="S237" s="195"/>
      <c r="T237" s="198"/>
      <c r="U237" s="196"/>
    </row>
    <row r="238" spans="1:21">
      <c r="A238" s="1816">
        <v>16</v>
      </c>
      <c r="B238" s="1825" t="s">
        <v>106</v>
      </c>
      <c r="C238" s="1826"/>
      <c r="D238" s="1826">
        <v>900</v>
      </c>
      <c r="E238" s="1826"/>
      <c r="F238" s="1828" t="s">
        <v>483</v>
      </c>
      <c r="G238" s="1828"/>
      <c r="H238" s="1828"/>
      <c r="I238" s="1828"/>
      <c r="J238" s="1821">
        <v>2012</v>
      </c>
      <c r="K238" s="1821">
        <v>2014</v>
      </c>
      <c r="L238" s="1829">
        <v>2740478</v>
      </c>
      <c r="M238" s="1831" t="s">
        <v>125</v>
      </c>
      <c r="N238" s="1850">
        <f>IF(SUM(N242)=T238,SUM(N242:N245),"wielbłąd")</f>
        <v>2674058</v>
      </c>
      <c r="O238" s="1821" t="s">
        <v>117</v>
      </c>
      <c r="P238" s="1850">
        <f>SUM(P242)</f>
        <v>1500000</v>
      </c>
      <c r="Q238" s="1850">
        <f t="shared" ref="Q238:S238" si="26">SUM(Q242)</f>
        <v>1174058</v>
      </c>
      <c r="R238" s="1850">
        <f t="shared" si="26"/>
        <v>0</v>
      </c>
      <c r="S238" s="1850">
        <f t="shared" si="26"/>
        <v>0</v>
      </c>
      <c r="T238" s="1851">
        <f>SUM(U242:U245)</f>
        <v>2674058</v>
      </c>
      <c r="U238" s="1852"/>
    </row>
    <row r="239" spans="1:21">
      <c r="A239" s="1817"/>
      <c r="B239" s="1827"/>
      <c r="C239" s="1690"/>
      <c r="D239" s="1690"/>
      <c r="E239" s="1690"/>
      <c r="F239" s="1681"/>
      <c r="G239" s="1681"/>
      <c r="H239" s="1681"/>
      <c r="I239" s="1681"/>
      <c r="J239" s="1651"/>
      <c r="K239" s="1651"/>
      <c r="L239" s="1830"/>
      <c r="M239" s="1697"/>
      <c r="N239" s="1660"/>
      <c r="O239" s="1651"/>
      <c r="P239" s="1660"/>
      <c r="Q239" s="1660"/>
      <c r="R239" s="1660"/>
      <c r="S239" s="1660"/>
      <c r="T239" s="1675"/>
      <c r="U239" s="1853"/>
    </row>
    <row r="240" spans="1:21">
      <c r="A240" s="1817"/>
      <c r="B240" s="1819" t="s">
        <v>112</v>
      </c>
      <c r="C240" s="1651"/>
      <c r="D240" s="1651">
        <v>90095</v>
      </c>
      <c r="E240" s="1651"/>
      <c r="F240" s="1681" t="s">
        <v>139</v>
      </c>
      <c r="G240" s="1681"/>
      <c r="H240" s="1681"/>
      <c r="I240" s="1681"/>
      <c r="J240" s="1651"/>
      <c r="K240" s="1651"/>
      <c r="L240" s="1830"/>
      <c r="M240" s="1697"/>
      <c r="N240" s="1660"/>
      <c r="O240" s="1651"/>
      <c r="P240" s="1660"/>
      <c r="Q240" s="1660"/>
      <c r="R240" s="1660"/>
      <c r="S240" s="1660"/>
      <c r="T240" s="1675"/>
      <c r="U240" s="1853"/>
    </row>
    <row r="241" spans="1:21">
      <c r="A241" s="1817"/>
      <c r="B241" s="1820"/>
      <c r="C241" s="1663"/>
      <c r="D241" s="1663"/>
      <c r="E241" s="1663"/>
      <c r="F241" s="1682"/>
      <c r="G241" s="1682"/>
      <c r="H241" s="1682"/>
      <c r="I241" s="1682"/>
      <c r="J241" s="1651"/>
      <c r="K241" s="1651"/>
      <c r="L241" s="1830"/>
      <c r="M241" s="1697"/>
      <c r="N241" s="1660"/>
      <c r="O241" s="1651"/>
      <c r="P241" s="1660"/>
      <c r="Q241" s="1660"/>
      <c r="R241" s="1660"/>
      <c r="S241" s="1660"/>
      <c r="T241" s="1677"/>
      <c r="U241" s="1854"/>
    </row>
    <row r="242" spans="1:21" ht="12.75" customHeight="1">
      <c r="A242" s="1817"/>
      <c r="B242" s="1832" t="s">
        <v>484</v>
      </c>
      <c r="C242" s="1699"/>
      <c r="D242" s="1699"/>
      <c r="E242" s="1699"/>
      <c r="F242" s="1699"/>
      <c r="G242" s="1699"/>
      <c r="H242" s="1699"/>
      <c r="I242" s="1700"/>
      <c r="J242" s="1651"/>
      <c r="K242" s="1651"/>
      <c r="L242" s="1830"/>
      <c r="M242" s="1651" t="s">
        <v>129</v>
      </c>
      <c r="N242" s="1655">
        <f>SUM(P242:S245)</f>
        <v>2674058</v>
      </c>
      <c r="O242" s="1651" t="s">
        <v>117</v>
      </c>
      <c r="P242" s="1652">
        <v>1500000</v>
      </c>
      <c r="Q242" s="1655">
        <v>1174058</v>
      </c>
      <c r="R242" s="1655">
        <v>0</v>
      </c>
      <c r="S242" s="1655">
        <v>0</v>
      </c>
      <c r="T242" s="1844">
        <f>$P$7</f>
        <v>2013</v>
      </c>
      <c r="U242" s="1846">
        <f>P238</f>
        <v>1500000</v>
      </c>
    </row>
    <row r="243" spans="1:21">
      <c r="A243" s="1817"/>
      <c r="B243" s="1833"/>
      <c r="C243" s="1702"/>
      <c r="D243" s="1702"/>
      <c r="E243" s="1702"/>
      <c r="F243" s="1702"/>
      <c r="G243" s="1702"/>
      <c r="H243" s="1702"/>
      <c r="I243" s="1703"/>
      <c r="J243" s="1651"/>
      <c r="K243" s="1651"/>
      <c r="L243" s="1830"/>
      <c r="M243" s="1651"/>
      <c r="N243" s="1655"/>
      <c r="O243" s="1651"/>
      <c r="P243" s="1653"/>
      <c r="Q243" s="1655"/>
      <c r="R243" s="1655"/>
      <c r="S243" s="1655"/>
      <c r="T243" s="1845"/>
      <c r="U243" s="1847"/>
    </row>
    <row r="244" spans="1:21" ht="6" customHeight="1">
      <c r="A244" s="1817"/>
      <c r="B244" s="1833"/>
      <c r="C244" s="1702"/>
      <c r="D244" s="1702"/>
      <c r="E244" s="1702"/>
      <c r="F244" s="1702"/>
      <c r="G244" s="1702"/>
      <c r="H244" s="1702"/>
      <c r="I244" s="1703"/>
      <c r="J244" s="1651"/>
      <c r="K244" s="1651"/>
      <c r="L244" s="1660">
        <v>66420</v>
      </c>
      <c r="M244" s="1651"/>
      <c r="N244" s="1655"/>
      <c r="O244" s="1651"/>
      <c r="P244" s="1653"/>
      <c r="Q244" s="1655"/>
      <c r="R244" s="1655"/>
      <c r="S244" s="1655"/>
      <c r="T244" s="1848">
        <f>$Q$7</f>
        <v>2014</v>
      </c>
      <c r="U244" s="1847">
        <f>Q238</f>
        <v>1174058</v>
      </c>
    </row>
    <row r="245" spans="1:21" ht="5.25" customHeight="1">
      <c r="A245" s="1817"/>
      <c r="B245" s="1834"/>
      <c r="C245" s="1705"/>
      <c r="D245" s="1705"/>
      <c r="E245" s="1705"/>
      <c r="F245" s="1705"/>
      <c r="G245" s="1705"/>
      <c r="H245" s="1705"/>
      <c r="I245" s="1706"/>
      <c r="J245" s="1651"/>
      <c r="K245" s="1651"/>
      <c r="L245" s="1660"/>
      <c r="M245" s="1651"/>
      <c r="N245" s="1655"/>
      <c r="O245" s="1651"/>
      <c r="P245" s="1653"/>
      <c r="Q245" s="1655"/>
      <c r="R245" s="1655"/>
      <c r="S245" s="1655"/>
      <c r="T245" s="1848"/>
      <c r="U245" s="1847"/>
    </row>
    <row r="246" spans="1:21">
      <c r="A246" s="1817"/>
      <c r="B246" s="1835" t="s">
        <v>485</v>
      </c>
      <c r="C246" s="1836"/>
      <c r="D246" s="1836"/>
      <c r="E246" s="1836"/>
      <c r="F246" s="1836"/>
      <c r="G246" s="1836"/>
      <c r="H246" s="1836"/>
      <c r="I246" s="1837"/>
      <c r="J246" s="1651"/>
      <c r="K246" s="1651"/>
      <c r="L246" s="1660"/>
      <c r="M246" s="1651"/>
      <c r="N246" s="1655"/>
      <c r="O246" s="1651"/>
      <c r="P246" s="1653"/>
      <c r="Q246" s="1655"/>
      <c r="R246" s="1655"/>
      <c r="S246" s="1655"/>
      <c r="T246" s="198"/>
      <c r="U246" s="1155"/>
    </row>
    <row r="247" spans="1:21">
      <c r="A247" s="1817"/>
      <c r="B247" s="1838"/>
      <c r="C247" s="1839"/>
      <c r="D247" s="1839"/>
      <c r="E247" s="1839"/>
      <c r="F247" s="1839"/>
      <c r="G247" s="1839"/>
      <c r="H247" s="1839"/>
      <c r="I247" s="1840"/>
      <c r="J247" s="1651"/>
      <c r="K247" s="1651"/>
      <c r="L247" s="1660"/>
      <c r="M247" s="1651"/>
      <c r="N247" s="1655"/>
      <c r="O247" s="1651"/>
      <c r="P247" s="1653"/>
      <c r="Q247" s="1655"/>
      <c r="R247" s="1655"/>
      <c r="S247" s="1655"/>
      <c r="T247" s="198"/>
      <c r="U247" s="1155"/>
    </row>
    <row r="248" spans="1:21" ht="9" customHeight="1" thickBot="1">
      <c r="A248" s="1818"/>
      <c r="B248" s="1841"/>
      <c r="C248" s="1842"/>
      <c r="D248" s="1842"/>
      <c r="E248" s="1842"/>
      <c r="F248" s="1842"/>
      <c r="G248" s="1842"/>
      <c r="H248" s="1842"/>
      <c r="I248" s="1843"/>
      <c r="J248" s="1822"/>
      <c r="K248" s="1822"/>
      <c r="L248" s="1849"/>
      <c r="M248" s="1822"/>
      <c r="N248" s="1823"/>
      <c r="O248" s="1822"/>
      <c r="P248" s="1824"/>
      <c r="Q248" s="1823"/>
      <c r="R248" s="1823"/>
      <c r="S248" s="1823"/>
      <c r="T248" s="1156"/>
      <c r="U248" s="1157"/>
    </row>
    <row r="249" spans="1:21" ht="10.5" customHeight="1" thickBot="1">
      <c r="A249" s="694"/>
      <c r="B249" s="693"/>
      <c r="C249" s="693"/>
      <c r="D249" s="693"/>
      <c r="E249" s="693"/>
      <c r="F249" s="693"/>
      <c r="G249" s="693"/>
      <c r="H249" s="693"/>
      <c r="I249" s="693"/>
      <c r="J249" s="65"/>
      <c r="K249" s="65"/>
      <c r="L249" s="64"/>
      <c r="M249" s="65"/>
      <c r="N249" s="195"/>
      <c r="O249" s="65"/>
      <c r="P249" s="195"/>
      <c r="Q249" s="195"/>
      <c r="R249" s="195"/>
      <c r="S249" s="195"/>
      <c r="T249" s="198"/>
      <c r="U249" s="196"/>
    </row>
    <row r="250" spans="1:21" ht="9" customHeight="1" thickTop="1">
      <c r="A250" s="1729" t="s">
        <v>144</v>
      </c>
      <c r="B250" s="1730"/>
      <c r="C250" s="1730"/>
      <c r="D250" s="1730"/>
      <c r="E250" s="1730"/>
      <c r="F250" s="1730"/>
      <c r="G250" s="1730"/>
      <c r="H250" s="1730"/>
      <c r="I250" s="1730"/>
      <c r="J250" s="1730"/>
      <c r="K250" s="1731"/>
      <c r="L250" s="1738">
        <f>L225+L212+L173+L199+L160+L147+L134+L121+L108+L95+L82+L69+L43+L30+L17+L238</f>
        <v>112305165.89</v>
      </c>
      <c r="M250" s="1740" t="s">
        <v>125</v>
      </c>
      <c r="N250" s="1672">
        <f>SUM(N254:N261)</f>
        <v>109649216.89000002</v>
      </c>
      <c r="O250" s="1671" t="s">
        <v>117</v>
      </c>
      <c r="P250" s="1694">
        <f>IF(SUM(P254:P258)=(P17+P56+P160+P134+P121+P108+P95+P82+P69+P43+P30+P147++P173+P225+P199+P212+P186+P238),SUM(P254:P258),"błąd")</f>
        <v>50551775</v>
      </c>
      <c r="Q250" s="1694">
        <f t="shared" ref="Q250:S250" si="27">IF(SUM(Q254:Q258)=(Q17+Q56+Q160+Q134+Q121+Q108+Q95+Q82+Q69+Q43+Q30+Q147++Q173+Q225+Q199+Q212+Q186+Q238),SUM(Q254:Q258),"błąd")</f>
        <v>54543717.420000002</v>
      </c>
      <c r="R250" s="1694">
        <f t="shared" si="27"/>
        <v>4549824.47</v>
      </c>
      <c r="S250" s="1694">
        <f t="shared" si="27"/>
        <v>3900</v>
      </c>
      <c r="T250" s="1673"/>
      <c r="U250" s="1674"/>
    </row>
    <row r="251" spans="1:21" ht="6" customHeight="1">
      <c r="A251" s="1732"/>
      <c r="B251" s="1733"/>
      <c r="C251" s="1733"/>
      <c r="D251" s="1733"/>
      <c r="E251" s="1733"/>
      <c r="F251" s="1733"/>
      <c r="G251" s="1733"/>
      <c r="H251" s="1733"/>
      <c r="I251" s="1733"/>
      <c r="J251" s="1733"/>
      <c r="K251" s="1734"/>
      <c r="L251" s="1739"/>
      <c r="M251" s="1741"/>
      <c r="N251" s="1660"/>
      <c r="O251" s="1651"/>
      <c r="P251" s="1744"/>
      <c r="Q251" s="1744"/>
      <c r="R251" s="1744"/>
      <c r="S251" s="1744"/>
      <c r="T251" s="1675"/>
      <c r="U251" s="1676"/>
    </row>
    <row r="252" spans="1:21">
      <c r="A252" s="1732"/>
      <c r="B252" s="1733"/>
      <c r="C252" s="1733"/>
      <c r="D252" s="1733"/>
      <c r="E252" s="1733"/>
      <c r="F252" s="1733"/>
      <c r="G252" s="1733"/>
      <c r="H252" s="1733"/>
      <c r="I252" s="1733"/>
      <c r="J252" s="1733"/>
      <c r="K252" s="1734"/>
      <c r="L252" s="1739"/>
      <c r="M252" s="1741"/>
      <c r="N252" s="1660"/>
      <c r="O252" s="1651"/>
      <c r="P252" s="1744"/>
      <c r="Q252" s="1744"/>
      <c r="R252" s="1744"/>
      <c r="S252" s="1744"/>
      <c r="T252" s="1675"/>
      <c r="U252" s="1676"/>
    </row>
    <row r="253" spans="1:21">
      <c r="A253" s="1732"/>
      <c r="B253" s="1733"/>
      <c r="C253" s="1733"/>
      <c r="D253" s="1733"/>
      <c r="E253" s="1733"/>
      <c r="F253" s="1733"/>
      <c r="G253" s="1733"/>
      <c r="H253" s="1733"/>
      <c r="I253" s="1733"/>
      <c r="J253" s="1733"/>
      <c r="K253" s="1734"/>
      <c r="L253" s="1739"/>
      <c r="M253" s="1742"/>
      <c r="N253" s="1743"/>
      <c r="O253" s="1651"/>
      <c r="P253" s="1745"/>
      <c r="Q253" s="1745"/>
      <c r="R253" s="1745"/>
      <c r="S253" s="1745"/>
      <c r="T253" s="1675"/>
      <c r="U253" s="1676"/>
    </row>
    <row r="254" spans="1:21">
      <c r="A254" s="1732"/>
      <c r="B254" s="1733"/>
      <c r="C254" s="1733"/>
      <c r="D254" s="1733"/>
      <c r="E254" s="1733"/>
      <c r="F254" s="1733"/>
      <c r="G254" s="1733"/>
      <c r="H254" s="1733"/>
      <c r="I254" s="1733"/>
      <c r="J254" s="1733"/>
      <c r="K254" s="1734"/>
      <c r="L254" s="1724">
        <f>L231+L218+L205+L179+L166+L153+L140+L127+L114+L101+L88+L75+L49+L36+L23+L244</f>
        <v>2648149</v>
      </c>
      <c r="M254" s="1663" t="s">
        <v>128</v>
      </c>
      <c r="N254" s="1655">
        <f>SUM(P254:S257)</f>
        <v>74858066.400000006</v>
      </c>
      <c r="O254" s="1651" t="s">
        <v>117</v>
      </c>
      <c r="P254" s="1652">
        <f>P21+P34+P47+P60+P73+P86+P99+P112+P125+P138+P151+P164+P177+P190+P229+P203+P216</f>
        <v>36283982.700000003</v>
      </c>
      <c r="Q254" s="1652">
        <f t="shared" ref="Q254:S254" si="28">Q21+Q34+Q47+Q60+Q73+Q86+Q99+Q112+Q125+Q138+Q151+Q164+Q177+Q190+Q229+Q203+Q216</f>
        <v>34709962.900000006</v>
      </c>
      <c r="R254" s="1652">
        <f t="shared" si="28"/>
        <v>3864120.8</v>
      </c>
      <c r="S254" s="1652">
        <f t="shared" si="28"/>
        <v>0</v>
      </c>
      <c r="T254" s="1675"/>
      <c r="U254" s="1676"/>
    </row>
    <row r="255" spans="1:21">
      <c r="A255" s="1732"/>
      <c r="B255" s="1733"/>
      <c r="C255" s="1733"/>
      <c r="D255" s="1733"/>
      <c r="E255" s="1733"/>
      <c r="F255" s="1733"/>
      <c r="G255" s="1733"/>
      <c r="H255" s="1733"/>
      <c r="I255" s="1733"/>
      <c r="J255" s="1733"/>
      <c r="K255" s="1734"/>
      <c r="L255" s="1724"/>
      <c r="M255" s="1664"/>
      <c r="N255" s="1655"/>
      <c r="O255" s="1651"/>
      <c r="P255" s="1727"/>
      <c r="Q255" s="1727"/>
      <c r="R255" s="1727"/>
      <c r="S255" s="1727"/>
      <c r="T255" s="1675"/>
      <c r="U255" s="1676"/>
    </row>
    <row r="256" spans="1:21" ht="4.5" customHeight="1">
      <c r="A256" s="1732"/>
      <c r="B256" s="1733"/>
      <c r="C256" s="1733"/>
      <c r="D256" s="1733"/>
      <c r="E256" s="1733"/>
      <c r="F256" s="1733"/>
      <c r="G256" s="1733"/>
      <c r="H256" s="1733"/>
      <c r="I256" s="1733"/>
      <c r="J256" s="1733"/>
      <c r="K256" s="1734"/>
      <c r="L256" s="1724"/>
      <c r="M256" s="1664"/>
      <c r="N256" s="1655"/>
      <c r="O256" s="1651"/>
      <c r="P256" s="1727"/>
      <c r="Q256" s="1727"/>
      <c r="R256" s="1727"/>
      <c r="S256" s="1727"/>
      <c r="T256" s="1675"/>
      <c r="U256" s="1676"/>
    </row>
    <row r="257" spans="1:21">
      <c r="A257" s="1732"/>
      <c r="B257" s="1733"/>
      <c r="C257" s="1733"/>
      <c r="D257" s="1733"/>
      <c r="E257" s="1733"/>
      <c r="F257" s="1733"/>
      <c r="G257" s="1733"/>
      <c r="H257" s="1733"/>
      <c r="I257" s="1733"/>
      <c r="J257" s="1733"/>
      <c r="K257" s="1734"/>
      <c r="L257" s="1724"/>
      <c r="M257" s="1726"/>
      <c r="N257" s="1655"/>
      <c r="O257" s="1651"/>
      <c r="P257" s="1728"/>
      <c r="Q257" s="1728"/>
      <c r="R257" s="1728"/>
      <c r="S257" s="1728"/>
      <c r="T257" s="1675"/>
      <c r="U257" s="1676"/>
    </row>
    <row r="258" spans="1:21">
      <c r="A258" s="1732"/>
      <c r="B258" s="1733"/>
      <c r="C258" s="1733"/>
      <c r="D258" s="1733"/>
      <c r="E258" s="1733"/>
      <c r="F258" s="1733"/>
      <c r="G258" s="1733"/>
      <c r="H258" s="1733"/>
      <c r="I258" s="1733"/>
      <c r="J258" s="1733"/>
      <c r="K258" s="1734"/>
      <c r="L258" s="1724"/>
      <c r="M258" s="1663" t="s">
        <v>129</v>
      </c>
      <c r="N258" s="1655">
        <f>SUM(P258:S261)</f>
        <v>34791150.490000002</v>
      </c>
      <c r="O258" s="1651" t="s">
        <v>117</v>
      </c>
      <c r="P258" s="1652">
        <f>P25+P38+P51+P64+P77+P90+P103+P116++P129+P142+P155+P168+P181+P194+P233+P207+P220+P242</f>
        <v>14267792.300000001</v>
      </c>
      <c r="Q258" s="1652">
        <f>Q25+Q38+Q51+Q64+Q77+Q90+Q103+Q116++Q129+Q142+Q155+Q168+Q181+Q194+Q233+Q207+Q220+Q242</f>
        <v>19833754.52</v>
      </c>
      <c r="R258" s="1652">
        <f t="shared" ref="R258:S258" si="29">R25+R38+R51+R64+R77+R90+R103+R116++R129+R142+R155+R168+R181+R194+R233+R207+R220+R242</f>
        <v>685703.67</v>
      </c>
      <c r="S258" s="1652">
        <f t="shared" si="29"/>
        <v>3900</v>
      </c>
      <c r="T258" s="1675"/>
      <c r="U258" s="1676"/>
    </row>
    <row r="259" spans="1:21">
      <c r="A259" s="1732"/>
      <c r="B259" s="1733"/>
      <c r="C259" s="1733"/>
      <c r="D259" s="1733"/>
      <c r="E259" s="1733"/>
      <c r="F259" s="1733"/>
      <c r="G259" s="1733"/>
      <c r="H259" s="1733"/>
      <c r="I259" s="1733"/>
      <c r="J259" s="1733"/>
      <c r="K259" s="1734"/>
      <c r="L259" s="1724"/>
      <c r="M259" s="1664"/>
      <c r="N259" s="1655"/>
      <c r="O259" s="1651"/>
      <c r="P259" s="1653"/>
      <c r="Q259" s="1653"/>
      <c r="R259" s="1653"/>
      <c r="S259" s="1653"/>
      <c r="T259" s="1675"/>
      <c r="U259" s="1676"/>
    </row>
    <row r="260" spans="1:21">
      <c r="A260" s="1732"/>
      <c r="B260" s="1733"/>
      <c r="C260" s="1733"/>
      <c r="D260" s="1733"/>
      <c r="E260" s="1733"/>
      <c r="F260" s="1733"/>
      <c r="G260" s="1733"/>
      <c r="H260" s="1733"/>
      <c r="I260" s="1733"/>
      <c r="J260" s="1733"/>
      <c r="K260" s="1734"/>
      <c r="L260" s="1724"/>
      <c r="M260" s="1664"/>
      <c r="N260" s="1655"/>
      <c r="O260" s="1651"/>
      <c r="P260" s="1653"/>
      <c r="Q260" s="1653"/>
      <c r="R260" s="1653"/>
      <c r="S260" s="1653"/>
      <c r="T260" s="1675"/>
      <c r="U260" s="1676"/>
    </row>
    <row r="261" spans="1:21" ht="13.5" thickBot="1">
      <c r="A261" s="1735"/>
      <c r="B261" s="1736"/>
      <c r="C261" s="1736"/>
      <c r="D261" s="1736"/>
      <c r="E261" s="1736"/>
      <c r="F261" s="1736"/>
      <c r="G261" s="1736"/>
      <c r="H261" s="1736"/>
      <c r="I261" s="1736"/>
      <c r="J261" s="1736"/>
      <c r="K261" s="1737"/>
      <c r="L261" s="1725"/>
      <c r="M261" s="1665"/>
      <c r="N261" s="1666"/>
      <c r="O261" s="1667"/>
      <c r="P261" s="1668"/>
      <c r="Q261" s="1668"/>
      <c r="R261" s="1668"/>
      <c r="S261" s="1668"/>
      <c r="T261" s="1722"/>
      <c r="U261" s="1723"/>
    </row>
    <row r="262" spans="1:21" ht="13.5" thickTop="1"/>
  </sheetData>
  <sheetProtection password="CC56" sheet="1" objects="1" scenarios="1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814">
    <mergeCell ref="T242:T243"/>
    <mergeCell ref="U242:U243"/>
    <mergeCell ref="T244:T245"/>
    <mergeCell ref="U244:U245"/>
    <mergeCell ref="L244:L248"/>
    <mergeCell ref="M242:M248"/>
    <mergeCell ref="N238:N241"/>
    <mergeCell ref="O238:O241"/>
    <mergeCell ref="P238:P241"/>
    <mergeCell ref="Q238:Q241"/>
    <mergeCell ref="R238:R241"/>
    <mergeCell ref="S238:S241"/>
    <mergeCell ref="T238:U241"/>
    <mergeCell ref="S242:S248"/>
    <mergeCell ref="B240:C241"/>
    <mergeCell ref="D240:E241"/>
    <mergeCell ref="F240:I241"/>
    <mergeCell ref="J238:J248"/>
    <mergeCell ref="K238:K248"/>
    <mergeCell ref="N242:N248"/>
    <mergeCell ref="P242:P248"/>
    <mergeCell ref="Q242:Q248"/>
    <mergeCell ref="R242:R248"/>
    <mergeCell ref="O242:O248"/>
    <mergeCell ref="B238:C239"/>
    <mergeCell ref="D238:E239"/>
    <mergeCell ref="F238:I239"/>
    <mergeCell ref="L238:L243"/>
    <mergeCell ref="M238:M241"/>
    <mergeCell ref="B242:I245"/>
    <mergeCell ref="B246:I248"/>
    <mergeCell ref="A238:A248"/>
    <mergeCell ref="O190:O193"/>
    <mergeCell ref="P190:P193"/>
    <mergeCell ref="Q190:Q193"/>
    <mergeCell ref="R190:R193"/>
    <mergeCell ref="S190:S193"/>
    <mergeCell ref="T190:T191"/>
    <mergeCell ref="U190:U191"/>
    <mergeCell ref="L192:L197"/>
    <mergeCell ref="T192:T193"/>
    <mergeCell ref="U192:U193"/>
    <mergeCell ref="M194:M197"/>
    <mergeCell ref="N194:N197"/>
    <mergeCell ref="O194:O197"/>
    <mergeCell ref="P194:P197"/>
    <mergeCell ref="Q194:Q197"/>
    <mergeCell ref="R194:R197"/>
    <mergeCell ref="S194:S197"/>
    <mergeCell ref="T194:T195"/>
    <mergeCell ref="U194:U195"/>
    <mergeCell ref="T196:T197"/>
    <mergeCell ref="U196:U197"/>
    <mergeCell ref="A186:A197"/>
    <mergeCell ref="A225:A236"/>
    <mergeCell ref="O186:O189"/>
    <mergeCell ref="P186:P189"/>
    <mergeCell ref="Q186:Q189"/>
    <mergeCell ref="R186:R189"/>
    <mergeCell ref="S186:S189"/>
    <mergeCell ref="T186:U189"/>
    <mergeCell ref="B188:C189"/>
    <mergeCell ref="D188:E189"/>
    <mergeCell ref="F188:I189"/>
    <mergeCell ref="B186:C187"/>
    <mergeCell ref="D186:E187"/>
    <mergeCell ref="F186:I187"/>
    <mergeCell ref="J186:J197"/>
    <mergeCell ref="K186:K197"/>
    <mergeCell ref="L186:L191"/>
    <mergeCell ref="M186:M189"/>
    <mergeCell ref="N186:N189"/>
    <mergeCell ref="B190:I193"/>
    <mergeCell ref="M190:M193"/>
    <mergeCell ref="N190:N193"/>
    <mergeCell ref="B194:I197"/>
    <mergeCell ref="O177:O180"/>
    <mergeCell ref="P177:P180"/>
    <mergeCell ref="Q177:Q180"/>
    <mergeCell ref="R177:R180"/>
    <mergeCell ref="S177:S180"/>
    <mergeCell ref="T177:T178"/>
    <mergeCell ref="U177:U178"/>
    <mergeCell ref="L179:L184"/>
    <mergeCell ref="T179:T180"/>
    <mergeCell ref="U179:U180"/>
    <mergeCell ref="M181:M184"/>
    <mergeCell ref="N181:N184"/>
    <mergeCell ref="O181:O184"/>
    <mergeCell ref="P181:P184"/>
    <mergeCell ref="Q181:Q184"/>
    <mergeCell ref="R181:R184"/>
    <mergeCell ref="S181:S184"/>
    <mergeCell ref="T181:T182"/>
    <mergeCell ref="U181:U182"/>
    <mergeCell ref="T183:T184"/>
    <mergeCell ref="U183:U184"/>
    <mergeCell ref="O173:O176"/>
    <mergeCell ref="P173:P176"/>
    <mergeCell ref="Q173:Q176"/>
    <mergeCell ref="R173:R176"/>
    <mergeCell ref="S173:S176"/>
    <mergeCell ref="T173:U176"/>
    <mergeCell ref="B175:C176"/>
    <mergeCell ref="D175:E176"/>
    <mergeCell ref="F175:I176"/>
    <mergeCell ref="A173:A184"/>
    <mergeCell ref="B173:C174"/>
    <mergeCell ref="D173:E174"/>
    <mergeCell ref="F173:I174"/>
    <mergeCell ref="J173:J184"/>
    <mergeCell ref="K173:K184"/>
    <mergeCell ref="L173:L178"/>
    <mergeCell ref="M173:M176"/>
    <mergeCell ref="N173:N176"/>
    <mergeCell ref="B177:I180"/>
    <mergeCell ref="M177:M180"/>
    <mergeCell ref="N177:N180"/>
    <mergeCell ref="B181:I184"/>
    <mergeCell ref="T131:T132"/>
    <mergeCell ref="U131:U132"/>
    <mergeCell ref="S121:S124"/>
    <mergeCell ref="T121:U124"/>
    <mergeCell ref="B123:C124"/>
    <mergeCell ref="D123:E124"/>
    <mergeCell ref="F123:I124"/>
    <mergeCell ref="O125:O128"/>
    <mergeCell ref="P125:P128"/>
    <mergeCell ref="Q125:Q128"/>
    <mergeCell ref="R125:R128"/>
    <mergeCell ref="S125:S128"/>
    <mergeCell ref="T125:T126"/>
    <mergeCell ref="U125:U126"/>
    <mergeCell ref="L127:L132"/>
    <mergeCell ref="T127:T128"/>
    <mergeCell ref="U127:U128"/>
    <mergeCell ref="M129:M132"/>
    <mergeCell ref="N129:N132"/>
    <mergeCell ref="O129:O132"/>
    <mergeCell ref="P129:P132"/>
    <mergeCell ref="Q129:Q132"/>
    <mergeCell ref="R129:R132"/>
    <mergeCell ref="S129:S132"/>
    <mergeCell ref="T129:T130"/>
    <mergeCell ref="U129:U130"/>
    <mergeCell ref="A2:U2"/>
    <mergeCell ref="A3:U3"/>
    <mergeCell ref="A4:A15"/>
    <mergeCell ref="B4:C5"/>
    <mergeCell ref="D4:E5"/>
    <mergeCell ref="F4:I5"/>
    <mergeCell ref="J4:K9"/>
    <mergeCell ref="L4:L9"/>
    <mergeCell ref="M4:U6"/>
    <mergeCell ref="R7:R15"/>
    <mergeCell ref="S7:S15"/>
    <mergeCell ref="T7:U15"/>
    <mergeCell ref="B6:C7"/>
    <mergeCell ref="D6:E7"/>
    <mergeCell ref="F6:I7"/>
    <mergeCell ref="M7:M15"/>
    <mergeCell ref="N7:N15"/>
    <mergeCell ref="O7:O15"/>
    <mergeCell ref="B8:I11"/>
    <mergeCell ref="J10:J15"/>
    <mergeCell ref="K10:K15"/>
    <mergeCell ref="L10:L15"/>
    <mergeCell ref="B12:I15"/>
    <mergeCell ref="A17:A28"/>
    <mergeCell ref="B17:C18"/>
    <mergeCell ref="D17:E18"/>
    <mergeCell ref="F17:I18"/>
    <mergeCell ref="J17:J28"/>
    <mergeCell ref="B21:I24"/>
    <mergeCell ref="P7:P15"/>
    <mergeCell ref="Q7:Q15"/>
    <mergeCell ref="Q17:Q20"/>
    <mergeCell ref="Q21:Q24"/>
    <mergeCell ref="R17:R20"/>
    <mergeCell ref="S17:S20"/>
    <mergeCell ref="T17:U20"/>
    <mergeCell ref="B19:C20"/>
    <mergeCell ref="D19:E20"/>
    <mergeCell ref="F19:I20"/>
    <mergeCell ref="K17:K28"/>
    <mergeCell ref="L17:L22"/>
    <mergeCell ref="M17:M20"/>
    <mergeCell ref="N17:N20"/>
    <mergeCell ref="O17:O20"/>
    <mergeCell ref="P17:P20"/>
    <mergeCell ref="M21:M24"/>
    <mergeCell ref="N21:N24"/>
    <mergeCell ref="O21:O24"/>
    <mergeCell ref="P21:P24"/>
    <mergeCell ref="B25:I28"/>
    <mergeCell ref="M25:M28"/>
    <mergeCell ref="N25:N28"/>
    <mergeCell ref="O25:O28"/>
    <mergeCell ref="P25:P28"/>
    <mergeCell ref="Q25:Q28"/>
    <mergeCell ref="R25:R28"/>
    <mergeCell ref="R21:R24"/>
    <mergeCell ref="S25:S28"/>
    <mergeCell ref="T25:T26"/>
    <mergeCell ref="U25:U26"/>
    <mergeCell ref="T27:T28"/>
    <mergeCell ref="U27:U28"/>
    <mergeCell ref="L23:L28"/>
    <mergeCell ref="T23:T24"/>
    <mergeCell ref="U23:U24"/>
    <mergeCell ref="S21:S24"/>
    <mergeCell ref="T21:T22"/>
    <mergeCell ref="U21:U22"/>
    <mergeCell ref="T30:U33"/>
    <mergeCell ref="B32:C33"/>
    <mergeCell ref="D32:E33"/>
    <mergeCell ref="F32:I33"/>
    <mergeCell ref="L30:L35"/>
    <mergeCell ref="M30:M33"/>
    <mergeCell ref="N30:N33"/>
    <mergeCell ref="O30:O33"/>
    <mergeCell ref="P30:P33"/>
    <mergeCell ref="Q30:Q33"/>
    <mergeCell ref="M34:M37"/>
    <mergeCell ref="N34:N37"/>
    <mergeCell ref="O34:O37"/>
    <mergeCell ref="P34:P37"/>
    <mergeCell ref="B30:C31"/>
    <mergeCell ref="D30:E31"/>
    <mergeCell ref="F30:I31"/>
    <mergeCell ref="J30:J41"/>
    <mergeCell ref="K30:K41"/>
    <mergeCell ref="B34:I37"/>
    <mergeCell ref="T38:T39"/>
    <mergeCell ref="U38:U39"/>
    <mergeCell ref="T40:T41"/>
    <mergeCell ref="U40:U41"/>
    <mergeCell ref="T36:T37"/>
    <mergeCell ref="U36:U37"/>
    <mergeCell ref="B38:I41"/>
    <mergeCell ref="M38:M41"/>
    <mergeCell ref="N38:N41"/>
    <mergeCell ref="O38:O41"/>
    <mergeCell ref="P38:P41"/>
    <mergeCell ref="Q38:Q41"/>
    <mergeCell ref="R38:R41"/>
    <mergeCell ref="Q34:Q37"/>
    <mergeCell ref="R34:R37"/>
    <mergeCell ref="S34:S37"/>
    <mergeCell ref="T34:T35"/>
    <mergeCell ref="U34:U35"/>
    <mergeCell ref="A43:A54"/>
    <mergeCell ref="B43:C44"/>
    <mergeCell ref="D43:E44"/>
    <mergeCell ref="F43:I44"/>
    <mergeCell ref="J43:J54"/>
    <mergeCell ref="K43:K54"/>
    <mergeCell ref="B47:I50"/>
    <mergeCell ref="S38:S41"/>
    <mergeCell ref="A30:A41"/>
    <mergeCell ref="R43:R46"/>
    <mergeCell ref="S43:S46"/>
    <mergeCell ref="B51:I54"/>
    <mergeCell ref="M51:M54"/>
    <mergeCell ref="N51:N54"/>
    <mergeCell ref="O51:O54"/>
    <mergeCell ref="P51:P54"/>
    <mergeCell ref="Q51:Q54"/>
    <mergeCell ref="R51:R54"/>
    <mergeCell ref="S51:S54"/>
    <mergeCell ref="R30:R33"/>
    <mergeCell ref="S30:S33"/>
    <mergeCell ref="L36:L41"/>
    <mergeCell ref="T43:U46"/>
    <mergeCell ref="B45:C46"/>
    <mergeCell ref="D45:E46"/>
    <mergeCell ref="F45:I46"/>
    <mergeCell ref="L43:L48"/>
    <mergeCell ref="M43:M46"/>
    <mergeCell ref="N43:N46"/>
    <mergeCell ref="O43:O46"/>
    <mergeCell ref="P43:P46"/>
    <mergeCell ref="Q43:Q46"/>
    <mergeCell ref="M47:M50"/>
    <mergeCell ref="N47:N50"/>
    <mergeCell ref="O47:O50"/>
    <mergeCell ref="P47:P50"/>
    <mergeCell ref="Q47:Q50"/>
    <mergeCell ref="R47:R50"/>
    <mergeCell ref="T51:T52"/>
    <mergeCell ref="U51:U52"/>
    <mergeCell ref="T53:T54"/>
    <mergeCell ref="U53:U54"/>
    <mergeCell ref="L49:L54"/>
    <mergeCell ref="T49:T50"/>
    <mergeCell ref="U49:U50"/>
    <mergeCell ref="S47:S50"/>
    <mergeCell ref="T47:T48"/>
    <mergeCell ref="U47:U48"/>
    <mergeCell ref="T56:U59"/>
    <mergeCell ref="B58:C59"/>
    <mergeCell ref="D58:E59"/>
    <mergeCell ref="F58:I59"/>
    <mergeCell ref="L56:L61"/>
    <mergeCell ref="M56:M59"/>
    <mergeCell ref="N56:N59"/>
    <mergeCell ref="O56:O59"/>
    <mergeCell ref="P56:P59"/>
    <mergeCell ref="Q56:Q59"/>
    <mergeCell ref="M60:M63"/>
    <mergeCell ref="N60:N63"/>
    <mergeCell ref="O60:O63"/>
    <mergeCell ref="P60:P63"/>
    <mergeCell ref="B56:C57"/>
    <mergeCell ref="D56:E57"/>
    <mergeCell ref="F56:I57"/>
    <mergeCell ref="J56:J67"/>
    <mergeCell ref="K56:K67"/>
    <mergeCell ref="B60:I63"/>
    <mergeCell ref="T64:T65"/>
    <mergeCell ref="U64:U65"/>
    <mergeCell ref="T66:T67"/>
    <mergeCell ref="U66:U67"/>
    <mergeCell ref="T62:T63"/>
    <mergeCell ref="U62:U63"/>
    <mergeCell ref="B64:I67"/>
    <mergeCell ref="M64:M67"/>
    <mergeCell ref="N64:N67"/>
    <mergeCell ref="O64:O67"/>
    <mergeCell ref="P64:P67"/>
    <mergeCell ref="Q64:Q67"/>
    <mergeCell ref="R64:R67"/>
    <mergeCell ref="Q60:Q63"/>
    <mergeCell ref="R60:R63"/>
    <mergeCell ref="S60:S63"/>
    <mergeCell ref="T60:T61"/>
    <mergeCell ref="U60:U61"/>
    <mergeCell ref="A69:A80"/>
    <mergeCell ref="B69:C70"/>
    <mergeCell ref="D69:E70"/>
    <mergeCell ref="F69:I70"/>
    <mergeCell ref="J69:J80"/>
    <mergeCell ref="K69:K80"/>
    <mergeCell ref="B73:I76"/>
    <mergeCell ref="S64:S67"/>
    <mergeCell ref="A56:A67"/>
    <mergeCell ref="R69:R72"/>
    <mergeCell ref="S69:S72"/>
    <mergeCell ref="B77:I80"/>
    <mergeCell ref="M77:M80"/>
    <mergeCell ref="N77:N80"/>
    <mergeCell ref="O77:O80"/>
    <mergeCell ref="P77:P80"/>
    <mergeCell ref="Q77:Q80"/>
    <mergeCell ref="R77:R80"/>
    <mergeCell ref="S77:S80"/>
    <mergeCell ref="R56:R59"/>
    <mergeCell ref="S56:S59"/>
    <mergeCell ref="L62:L67"/>
    <mergeCell ref="T69:U72"/>
    <mergeCell ref="B71:C72"/>
    <mergeCell ref="D71:E72"/>
    <mergeCell ref="F71:I72"/>
    <mergeCell ref="L69:L74"/>
    <mergeCell ref="M69:M72"/>
    <mergeCell ref="N69:N72"/>
    <mergeCell ref="O69:O72"/>
    <mergeCell ref="P69:P72"/>
    <mergeCell ref="Q69:Q72"/>
    <mergeCell ref="M73:M76"/>
    <mergeCell ref="N73:N76"/>
    <mergeCell ref="O73:O76"/>
    <mergeCell ref="P73:P76"/>
    <mergeCell ref="Q73:Q76"/>
    <mergeCell ref="R73:R76"/>
    <mergeCell ref="T77:T78"/>
    <mergeCell ref="U77:U78"/>
    <mergeCell ref="T79:T80"/>
    <mergeCell ref="U79:U80"/>
    <mergeCell ref="L75:L80"/>
    <mergeCell ref="T75:T76"/>
    <mergeCell ref="U75:U76"/>
    <mergeCell ref="S73:S76"/>
    <mergeCell ref="T73:T74"/>
    <mergeCell ref="U73:U74"/>
    <mergeCell ref="T82:U85"/>
    <mergeCell ref="B84:C85"/>
    <mergeCell ref="D84:E85"/>
    <mergeCell ref="F84:I85"/>
    <mergeCell ref="L82:L87"/>
    <mergeCell ref="M82:M85"/>
    <mergeCell ref="N82:N85"/>
    <mergeCell ref="O82:O85"/>
    <mergeCell ref="P82:P85"/>
    <mergeCell ref="Q82:Q85"/>
    <mergeCell ref="M86:M89"/>
    <mergeCell ref="N86:N89"/>
    <mergeCell ref="O86:O89"/>
    <mergeCell ref="P86:P89"/>
    <mergeCell ref="B82:C83"/>
    <mergeCell ref="D82:E83"/>
    <mergeCell ref="F82:I83"/>
    <mergeCell ref="J82:J93"/>
    <mergeCell ref="K82:K93"/>
    <mergeCell ref="B86:I89"/>
    <mergeCell ref="T90:T91"/>
    <mergeCell ref="U90:U91"/>
    <mergeCell ref="T92:T93"/>
    <mergeCell ref="U92:U93"/>
    <mergeCell ref="T88:T89"/>
    <mergeCell ref="U88:U89"/>
    <mergeCell ref="B90:I93"/>
    <mergeCell ref="M90:M93"/>
    <mergeCell ref="N90:N93"/>
    <mergeCell ref="O90:O93"/>
    <mergeCell ref="P90:P93"/>
    <mergeCell ref="Q90:Q93"/>
    <mergeCell ref="R90:R93"/>
    <mergeCell ref="Q86:Q89"/>
    <mergeCell ref="R86:R89"/>
    <mergeCell ref="S86:S89"/>
    <mergeCell ref="T86:T87"/>
    <mergeCell ref="U86:U87"/>
    <mergeCell ref="S90:S93"/>
    <mergeCell ref="A82:A93"/>
    <mergeCell ref="R108:R111"/>
    <mergeCell ref="S108:S111"/>
    <mergeCell ref="B116:I119"/>
    <mergeCell ref="M116:M119"/>
    <mergeCell ref="N116:N119"/>
    <mergeCell ref="O116:O119"/>
    <mergeCell ref="P116:P119"/>
    <mergeCell ref="Q116:Q119"/>
    <mergeCell ref="R116:R119"/>
    <mergeCell ref="S116:S119"/>
    <mergeCell ref="R99:R102"/>
    <mergeCell ref="S99:S102"/>
    <mergeCell ref="R82:R85"/>
    <mergeCell ref="S82:S85"/>
    <mergeCell ref="B103:I106"/>
    <mergeCell ref="L88:L93"/>
    <mergeCell ref="B99:I102"/>
    <mergeCell ref="M99:M102"/>
    <mergeCell ref="N99:N102"/>
    <mergeCell ref="O99:O102"/>
    <mergeCell ref="P99:P102"/>
    <mergeCell ref="Q99:Q102"/>
    <mergeCell ref="A95:A106"/>
    <mergeCell ref="T108:U111"/>
    <mergeCell ref="B110:C111"/>
    <mergeCell ref="D110:E111"/>
    <mergeCell ref="F110:I111"/>
    <mergeCell ref="L108:L113"/>
    <mergeCell ref="M108:M111"/>
    <mergeCell ref="N108:N111"/>
    <mergeCell ref="O108:O111"/>
    <mergeCell ref="P108:P111"/>
    <mergeCell ref="Q108:Q111"/>
    <mergeCell ref="M112:M115"/>
    <mergeCell ref="N112:N115"/>
    <mergeCell ref="O112:O115"/>
    <mergeCell ref="P112:P115"/>
    <mergeCell ref="Q112:Q115"/>
    <mergeCell ref="R112:R115"/>
    <mergeCell ref="B108:C109"/>
    <mergeCell ref="D108:E109"/>
    <mergeCell ref="F108:I109"/>
    <mergeCell ref="J108:J119"/>
    <mergeCell ref="K108:K119"/>
    <mergeCell ref="B112:I115"/>
    <mergeCell ref="T116:T117"/>
    <mergeCell ref="U116:U117"/>
    <mergeCell ref="T118:T119"/>
    <mergeCell ref="U118:U119"/>
    <mergeCell ref="L114:L119"/>
    <mergeCell ref="T114:T115"/>
    <mergeCell ref="U114:U115"/>
    <mergeCell ref="S112:S115"/>
    <mergeCell ref="T112:T113"/>
    <mergeCell ref="U112:U113"/>
    <mergeCell ref="P155:P158"/>
    <mergeCell ref="Q155:Q158"/>
    <mergeCell ref="R155:R158"/>
    <mergeCell ref="O134:O137"/>
    <mergeCell ref="P134:P137"/>
    <mergeCell ref="Q134:Q137"/>
    <mergeCell ref="R134:R137"/>
    <mergeCell ref="S134:S137"/>
    <mergeCell ref="T134:U137"/>
    <mergeCell ref="O138:O141"/>
    <mergeCell ref="P138:P141"/>
    <mergeCell ref="Q138:Q141"/>
    <mergeCell ref="R138:R141"/>
    <mergeCell ref="S138:S141"/>
    <mergeCell ref="T138:T139"/>
    <mergeCell ref="U138:U139"/>
    <mergeCell ref="A147:A158"/>
    <mergeCell ref="B147:C148"/>
    <mergeCell ref="D147:E148"/>
    <mergeCell ref="F147:I148"/>
    <mergeCell ref="J147:J158"/>
    <mergeCell ref="K147:K158"/>
    <mergeCell ref="L147:L152"/>
    <mergeCell ref="S151:S154"/>
    <mergeCell ref="Q147:Q150"/>
    <mergeCell ref="R147:R150"/>
    <mergeCell ref="S147:S150"/>
    <mergeCell ref="M151:M154"/>
    <mergeCell ref="N151:N154"/>
    <mergeCell ref="O151:O154"/>
    <mergeCell ref="Q151:Q154"/>
    <mergeCell ref="R151:R154"/>
    <mergeCell ref="A108:A119"/>
    <mergeCell ref="A121:A132"/>
    <mergeCell ref="B129:I132"/>
    <mergeCell ref="O121:O124"/>
    <mergeCell ref="P121:P124"/>
    <mergeCell ref="Q121:Q124"/>
    <mergeCell ref="R121:R124"/>
    <mergeCell ref="A134:A145"/>
    <mergeCell ref="B134:C135"/>
    <mergeCell ref="D134:E135"/>
    <mergeCell ref="F134:I135"/>
    <mergeCell ref="B121:C122"/>
    <mergeCell ref="D121:E122"/>
    <mergeCell ref="F121:I122"/>
    <mergeCell ref="J121:J132"/>
    <mergeCell ref="K121:K132"/>
    <mergeCell ref="L121:L126"/>
    <mergeCell ref="M121:M124"/>
    <mergeCell ref="N121:N124"/>
    <mergeCell ref="B125:I128"/>
    <mergeCell ref="M125:M128"/>
    <mergeCell ref="N125:N128"/>
    <mergeCell ref="J134:J145"/>
    <mergeCell ref="K134:K145"/>
    <mergeCell ref="T95:U98"/>
    <mergeCell ref="B97:C98"/>
    <mergeCell ref="D97:E98"/>
    <mergeCell ref="F97:I98"/>
    <mergeCell ref="M95:M98"/>
    <mergeCell ref="N95:N98"/>
    <mergeCell ref="O95:O98"/>
    <mergeCell ref="P95:P98"/>
    <mergeCell ref="Q95:Q98"/>
    <mergeCell ref="R95:R98"/>
    <mergeCell ref="S95:S98"/>
    <mergeCell ref="B95:C96"/>
    <mergeCell ref="D95:E96"/>
    <mergeCell ref="F95:I96"/>
    <mergeCell ref="J95:J106"/>
    <mergeCell ref="K95:K106"/>
    <mergeCell ref="L95:L100"/>
    <mergeCell ref="M103:M106"/>
    <mergeCell ref="N103:N106"/>
    <mergeCell ref="O103:O106"/>
    <mergeCell ref="P103:P106"/>
    <mergeCell ref="Q103:Q106"/>
    <mergeCell ref="T99:T100"/>
    <mergeCell ref="U99:U100"/>
    <mergeCell ref="L101:L106"/>
    <mergeCell ref="T101:T102"/>
    <mergeCell ref="U101:U102"/>
    <mergeCell ref="R103:R106"/>
    <mergeCell ref="S103:S106"/>
    <mergeCell ref="T103:T104"/>
    <mergeCell ref="U103:U104"/>
    <mergeCell ref="T105:T106"/>
    <mergeCell ref="U105:U106"/>
    <mergeCell ref="L134:L139"/>
    <mergeCell ref="M134:M137"/>
    <mergeCell ref="N134:N137"/>
    <mergeCell ref="B138:I141"/>
    <mergeCell ref="M138:M141"/>
    <mergeCell ref="N138:N141"/>
    <mergeCell ref="B142:I145"/>
    <mergeCell ref="B136:C137"/>
    <mergeCell ref="D136:E137"/>
    <mergeCell ref="F136:I137"/>
    <mergeCell ref="L140:L145"/>
    <mergeCell ref="T140:T141"/>
    <mergeCell ref="U140:U141"/>
    <mergeCell ref="M142:M145"/>
    <mergeCell ref="N142:N145"/>
    <mergeCell ref="O142:O145"/>
    <mergeCell ref="P142:P145"/>
    <mergeCell ref="Q142:Q145"/>
    <mergeCell ref="R142:R145"/>
    <mergeCell ref="S142:S145"/>
    <mergeCell ref="T142:T143"/>
    <mergeCell ref="U142:U143"/>
    <mergeCell ref="T144:T145"/>
    <mergeCell ref="U144:U145"/>
    <mergeCell ref="T147:U150"/>
    <mergeCell ref="B149:C150"/>
    <mergeCell ref="D149:E150"/>
    <mergeCell ref="F149:I150"/>
    <mergeCell ref="B151:I154"/>
    <mergeCell ref="T151:T152"/>
    <mergeCell ref="U151:U152"/>
    <mergeCell ref="L153:L158"/>
    <mergeCell ref="T153:T154"/>
    <mergeCell ref="U153:U154"/>
    <mergeCell ref="B155:I158"/>
    <mergeCell ref="T155:T156"/>
    <mergeCell ref="U155:U156"/>
    <mergeCell ref="T157:T158"/>
    <mergeCell ref="U157:U158"/>
    <mergeCell ref="P151:P154"/>
    <mergeCell ref="M147:M150"/>
    <mergeCell ref="N147:N150"/>
    <mergeCell ref="O147:O150"/>
    <mergeCell ref="P147:P150"/>
    <mergeCell ref="S155:S158"/>
    <mergeCell ref="M155:M158"/>
    <mergeCell ref="N155:N158"/>
    <mergeCell ref="O155:O158"/>
    <mergeCell ref="A160:A171"/>
    <mergeCell ref="B160:C161"/>
    <mergeCell ref="D160:E161"/>
    <mergeCell ref="F160:I161"/>
    <mergeCell ref="J160:J171"/>
    <mergeCell ref="K160:K171"/>
    <mergeCell ref="L160:L165"/>
    <mergeCell ref="M160:M163"/>
    <mergeCell ref="N160:N163"/>
    <mergeCell ref="B164:I167"/>
    <mergeCell ref="M164:M167"/>
    <mergeCell ref="N164:N167"/>
    <mergeCell ref="B168:I171"/>
    <mergeCell ref="O160:O163"/>
    <mergeCell ref="P160:P163"/>
    <mergeCell ref="Q160:Q163"/>
    <mergeCell ref="R160:R163"/>
    <mergeCell ref="S160:S163"/>
    <mergeCell ref="T160:U163"/>
    <mergeCell ref="B162:C163"/>
    <mergeCell ref="D162:E163"/>
    <mergeCell ref="F162:I163"/>
    <mergeCell ref="O164:O167"/>
    <mergeCell ref="P164:P167"/>
    <mergeCell ref="Q164:Q167"/>
    <mergeCell ref="R164:R167"/>
    <mergeCell ref="S164:S167"/>
    <mergeCell ref="T164:T165"/>
    <mergeCell ref="U164:U165"/>
    <mergeCell ref="L166:L171"/>
    <mergeCell ref="T166:T167"/>
    <mergeCell ref="U166:U167"/>
    <mergeCell ref="M168:M171"/>
    <mergeCell ref="N168:N171"/>
    <mergeCell ref="O168:O171"/>
    <mergeCell ref="P168:P171"/>
    <mergeCell ref="Q168:Q171"/>
    <mergeCell ref="R168:R171"/>
    <mergeCell ref="S168:S171"/>
    <mergeCell ref="T168:T169"/>
    <mergeCell ref="U168:U169"/>
    <mergeCell ref="T170:T171"/>
    <mergeCell ref="U170:U171"/>
    <mergeCell ref="O225:O228"/>
    <mergeCell ref="P225:P228"/>
    <mergeCell ref="Q225:Q228"/>
    <mergeCell ref="R225:R228"/>
    <mergeCell ref="S225:S228"/>
    <mergeCell ref="T225:U228"/>
    <mergeCell ref="B227:C228"/>
    <mergeCell ref="D227:E228"/>
    <mergeCell ref="F227:I228"/>
    <mergeCell ref="B225:C226"/>
    <mergeCell ref="D225:E226"/>
    <mergeCell ref="F225:I226"/>
    <mergeCell ref="J225:J236"/>
    <mergeCell ref="K225:K236"/>
    <mergeCell ref="L225:L230"/>
    <mergeCell ref="M225:M228"/>
    <mergeCell ref="N225:N228"/>
    <mergeCell ref="B229:I232"/>
    <mergeCell ref="M229:M232"/>
    <mergeCell ref="N229:N232"/>
    <mergeCell ref="B233:I236"/>
    <mergeCell ref="L231:L236"/>
    <mergeCell ref="T231:T232"/>
    <mergeCell ref="U231:U232"/>
    <mergeCell ref="M233:M236"/>
    <mergeCell ref="N233:N236"/>
    <mergeCell ref="O233:O236"/>
    <mergeCell ref="P233:P236"/>
    <mergeCell ref="Q233:Q236"/>
    <mergeCell ref="R233:R236"/>
    <mergeCell ref="S233:S236"/>
    <mergeCell ref="T233:T234"/>
    <mergeCell ref="U233:U234"/>
    <mergeCell ref="T235:T236"/>
    <mergeCell ref="U235:U236"/>
    <mergeCell ref="A250:K261"/>
    <mergeCell ref="L250:L253"/>
    <mergeCell ref="M250:M253"/>
    <mergeCell ref="N250:N253"/>
    <mergeCell ref="O250:O253"/>
    <mergeCell ref="P250:P253"/>
    <mergeCell ref="Q250:Q253"/>
    <mergeCell ref="R250:R253"/>
    <mergeCell ref="S250:S253"/>
    <mergeCell ref="S1:U1"/>
    <mergeCell ref="T250:U261"/>
    <mergeCell ref="L254:L261"/>
    <mergeCell ref="M254:M257"/>
    <mergeCell ref="N254:N257"/>
    <mergeCell ref="O254:O257"/>
    <mergeCell ref="P254:P257"/>
    <mergeCell ref="Q254:Q257"/>
    <mergeCell ref="R254:R257"/>
    <mergeCell ref="S254:S257"/>
    <mergeCell ref="M258:M261"/>
    <mergeCell ref="N258:N261"/>
    <mergeCell ref="O258:O261"/>
    <mergeCell ref="P258:P261"/>
    <mergeCell ref="Q258:Q261"/>
    <mergeCell ref="R258:R261"/>
    <mergeCell ref="S258:S261"/>
    <mergeCell ref="O229:O232"/>
    <mergeCell ref="P229:P232"/>
    <mergeCell ref="Q229:Q232"/>
    <mergeCell ref="R229:R232"/>
    <mergeCell ref="S229:S232"/>
    <mergeCell ref="T229:T230"/>
    <mergeCell ref="U229:U230"/>
    <mergeCell ref="A199:A210"/>
    <mergeCell ref="B199:C200"/>
    <mergeCell ref="D199:E200"/>
    <mergeCell ref="F199:I200"/>
    <mergeCell ref="J199:J210"/>
    <mergeCell ref="K199:K210"/>
    <mergeCell ref="L199:L204"/>
    <mergeCell ref="M199:M202"/>
    <mergeCell ref="N199:N202"/>
    <mergeCell ref="B203:I206"/>
    <mergeCell ref="M203:M206"/>
    <mergeCell ref="N203:N206"/>
    <mergeCell ref="B207:I210"/>
    <mergeCell ref="O199:O202"/>
    <mergeCell ref="P199:P202"/>
    <mergeCell ref="Q199:Q202"/>
    <mergeCell ref="R199:R202"/>
    <mergeCell ref="S199:S202"/>
    <mergeCell ref="T199:U202"/>
    <mergeCell ref="B201:C202"/>
    <mergeCell ref="D201:E202"/>
    <mergeCell ref="F201:I202"/>
    <mergeCell ref="O203:O206"/>
    <mergeCell ref="P203:P206"/>
    <mergeCell ref="Q203:Q206"/>
    <mergeCell ref="R203:R206"/>
    <mergeCell ref="S203:S206"/>
    <mergeCell ref="T203:T204"/>
    <mergeCell ref="U203:U204"/>
    <mergeCell ref="L205:L210"/>
    <mergeCell ref="T205:T206"/>
    <mergeCell ref="U205:U206"/>
    <mergeCell ref="M207:M210"/>
    <mergeCell ref="N207:N210"/>
    <mergeCell ref="O207:O210"/>
    <mergeCell ref="P207:P210"/>
    <mergeCell ref="Q207:Q210"/>
    <mergeCell ref="R207:R210"/>
    <mergeCell ref="S207:S210"/>
    <mergeCell ref="T207:T208"/>
    <mergeCell ref="U207:U208"/>
    <mergeCell ref="T209:T210"/>
    <mergeCell ref="U209:U210"/>
    <mergeCell ref="A212:A223"/>
    <mergeCell ref="B212:C213"/>
    <mergeCell ref="D212:E213"/>
    <mergeCell ref="F212:I213"/>
    <mergeCell ref="J212:J223"/>
    <mergeCell ref="K212:K223"/>
    <mergeCell ref="L212:L217"/>
    <mergeCell ref="M212:M215"/>
    <mergeCell ref="N212:N215"/>
    <mergeCell ref="B216:I219"/>
    <mergeCell ref="M216:M219"/>
    <mergeCell ref="N216:N219"/>
    <mergeCell ref="B220:I223"/>
    <mergeCell ref="O212:O215"/>
    <mergeCell ref="P212:P215"/>
    <mergeCell ref="Q212:Q215"/>
    <mergeCell ref="R212:R215"/>
    <mergeCell ref="S212:S215"/>
    <mergeCell ref="T212:U215"/>
    <mergeCell ref="B214:C215"/>
    <mergeCell ref="D214:E215"/>
    <mergeCell ref="F214:I215"/>
    <mergeCell ref="O216:O219"/>
    <mergeCell ref="P216:P219"/>
    <mergeCell ref="Q216:Q219"/>
    <mergeCell ref="R216:R219"/>
    <mergeCell ref="S216:S219"/>
    <mergeCell ref="T216:T217"/>
    <mergeCell ref="U216:U217"/>
    <mergeCell ref="L218:L223"/>
    <mergeCell ref="T218:T219"/>
    <mergeCell ref="U218:U219"/>
    <mergeCell ref="M220:M223"/>
    <mergeCell ref="N220:N223"/>
    <mergeCell ref="O220:O223"/>
    <mergeCell ref="P220:P223"/>
    <mergeCell ref="Q220:Q223"/>
    <mergeCell ref="R220:R223"/>
    <mergeCell ref="S220:S223"/>
    <mergeCell ref="T220:T221"/>
    <mergeCell ref="U220:U221"/>
    <mergeCell ref="T222:T223"/>
    <mergeCell ref="U222:U223"/>
  </mergeCells>
  <printOptions horizontalCentered="1"/>
  <pageMargins left="0.11811023622047245" right="0.11811023622047245" top="0.35433070866141736" bottom="0.19685039370078741" header="0.31496062992125984" footer="0.31496062992125984"/>
  <pageSetup paperSize="8" scale="69" orientation="portrait" copies="3" r:id="rId1"/>
  <rowBreaks count="1" manualBreakCount="1">
    <brk id="13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23</vt:i4>
      </vt:variant>
    </vt:vector>
  </HeadingPairs>
  <TitlesOfParts>
    <vt:vector size="50" baseType="lpstr">
      <vt:lpstr>WPF styczeń 2013</vt:lpstr>
      <vt:lpstr>Prognozowana kwota długu</vt:lpstr>
      <vt:lpstr>Planowane spłaty zobowiązań</vt:lpstr>
      <vt:lpstr>Przedsięwzięcia - bierzące</vt:lpstr>
      <vt:lpstr>poreczenia nieaktualne</vt:lpstr>
      <vt:lpstr>Harmonogram</vt:lpstr>
      <vt:lpstr>HSZ do groszy</vt:lpstr>
      <vt:lpstr>HSZ do złotówek</vt:lpstr>
      <vt:lpstr>Przeds maj styczeń 2013</vt:lpstr>
      <vt:lpstr>Przeds bieżace  styczeń 2013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'Planowane spłaty zobowiązań'!Obszar_wydruku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styczeń 2013 '!Obszar_wydruku</vt:lpstr>
      <vt:lpstr>'Przeds maj styczeń 2013'!Obszar_wydruku</vt:lpstr>
      <vt:lpstr>'Przeds Poręczenia'!Obszar_wydruku</vt:lpstr>
      <vt:lpstr>'WPF styczeń 2013'!Obszar_wydruku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b.tanhojzer</cp:lastModifiedBy>
  <cp:lastPrinted>2013-01-17T10:22:27Z</cp:lastPrinted>
  <dcterms:created xsi:type="dcterms:W3CDTF">2010-06-05T20:15:04Z</dcterms:created>
  <dcterms:modified xsi:type="dcterms:W3CDTF">2013-01-17T10:26:19Z</dcterms:modified>
</cp:coreProperties>
</file>